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7740" yWindow="-180" windowWidth="17115" windowHeight="9855" activeTab="10"/>
  </bookViews>
  <sheets>
    <sheet name="1" sheetId="50" r:id="rId1"/>
    <sheet name="2" sheetId="49" r:id="rId2"/>
    <sheet name="3" sheetId="48" r:id="rId3"/>
    <sheet name="4" sheetId="47" r:id="rId4"/>
    <sheet name="5" sheetId="46" r:id="rId5"/>
    <sheet name="6" sheetId="45" r:id="rId6"/>
    <sheet name="Technical" sheetId="36" r:id="rId7"/>
    <sheet name="Non-Technical" sheetId="37" r:id="rId8"/>
    <sheet name="Summary" sheetId="1" r:id="rId9"/>
    <sheet name="Cost Evaluation" sheetId="51" r:id="rId10"/>
    <sheet name="Evaluation" sheetId="52" r:id="rId11"/>
  </sheets>
  <externalReferences>
    <externalReference r:id="rId12"/>
    <externalReference r:id="rId13"/>
    <externalReference r:id="rId14"/>
    <externalReference r:id="rId15"/>
    <externalReference r:id="rId16"/>
    <externalReference r:id="rId17"/>
    <externalReference r:id="rId18"/>
  </externalReferences>
  <calcPr calcId="145621"/>
</workbook>
</file>

<file path=xl/calcChain.xml><?xml version="1.0" encoding="utf-8"?>
<calcChain xmlns="http://schemas.openxmlformats.org/spreadsheetml/2006/main">
  <c r="K19" i="52" l="1"/>
  <c r="H19" i="52"/>
  <c r="L19" i="52" s="1"/>
  <c r="E19" i="52"/>
  <c r="B19" i="52"/>
  <c r="K18" i="52"/>
  <c r="H18" i="52"/>
  <c r="L18" i="52" s="1"/>
  <c r="E18" i="52"/>
  <c r="B18" i="52"/>
  <c r="K17" i="52"/>
  <c r="H17" i="52"/>
  <c r="L17" i="52" s="1"/>
  <c r="E17" i="52"/>
  <c r="B17" i="52"/>
  <c r="K16" i="52"/>
  <c r="H16" i="52"/>
  <c r="L16" i="52" s="1"/>
  <c r="E16" i="52"/>
  <c r="B16" i="52"/>
  <c r="L15" i="52"/>
  <c r="K15" i="52"/>
  <c r="H15" i="52"/>
  <c r="E15" i="52"/>
  <c r="B15" i="52"/>
  <c r="K14" i="52"/>
  <c r="H14" i="52"/>
  <c r="L14" i="52" s="1"/>
  <c r="E14" i="52"/>
  <c r="B14" i="52"/>
  <c r="K13" i="52"/>
  <c r="H13" i="52"/>
  <c r="L13" i="52" s="1"/>
  <c r="E13" i="52"/>
  <c r="B13" i="52"/>
  <c r="K12" i="52"/>
  <c r="L12" i="52" s="1"/>
  <c r="H12" i="52"/>
  <c r="E12" i="52"/>
  <c r="B12" i="52"/>
  <c r="K11" i="52"/>
  <c r="H11" i="52"/>
  <c r="L11" i="52" s="1"/>
  <c r="E11" i="52"/>
  <c r="B11" i="52"/>
  <c r="K10" i="52"/>
  <c r="H10" i="52"/>
  <c r="L10" i="52" s="1"/>
  <c r="E10" i="52"/>
  <c r="B10" i="52"/>
  <c r="K9" i="52"/>
  <c r="H9" i="52"/>
  <c r="L9" i="52" s="1"/>
  <c r="E9" i="52"/>
  <c r="B9" i="52"/>
  <c r="K8" i="52"/>
  <c r="H8" i="52"/>
  <c r="L8" i="52" s="1"/>
  <c r="E8" i="52"/>
  <c r="B8" i="52"/>
  <c r="E1" i="52"/>
  <c r="K6" i="1" l="1"/>
  <c r="K7" i="1"/>
  <c r="K8" i="1"/>
  <c r="K9" i="1"/>
  <c r="K10" i="1"/>
  <c r="K11" i="1"/>
  <c r="K12" i="1"/>
  <c r="K13" i="1"/>
  <c r="K14" i="1"/>
  <c r="K15" i="1"/>
  <c r="K16" i="1"/>
  <c r="K5" i="1"/>
  <c r="B16" i="1"/>
  <c r="C16" i="1"/>
  <c r="D16" i="1"/>
  <c r="E16" i="1"/>
  <c r="H16" i="1" s="1"/>
  <c r="J16" i="1" s="1"/>
  <c r="F16" i="1"/>
  <c r="G16" i="1"/>
  <c r="I16" i="1"/>
  <c r="B6" i="1"/>
  <c r="H6" i="1" s="1"/>
  <c r="J6" i="1" s="1"/>
  <c r="C6" i="1"/>
  <c r="D6" i="1"/>
  <c r="E6" i="1"/>
  <c r="F6" i="1"/>
  <c r="G6" i="1"/>
  <c r="I6" i="1"/>
  <c r="B7" i="1"/>
  <c r="H7" i="1" s="1"/>
  <c r="J7" i="1" s="1"/>
  <c r="C7" i="1"/>
  <c r="D7" i="1"/>
  <c r="E7" i="1"/>
  <c r="F7" i="1"/>
  <c r="G7" i="1"/>
  <c r="I7" i="1"/>
  <c r="B8" i="1"/>
  <c r="H8" i="1" s="1"/>
  <c r="J8" i="1" s="1"/>
  <c r="C8" i="1"/>
  <c r="D8" i="1"/>
  <c r="E8" i="1"/>
  <c r="F8" i="1"/>
  <c r="G8" i="1"/>
  <c r="I8" i="1"/>
  <c r="B9" i="1"/>
  <c r="C9" i="1"/>
  <c r="D9" i="1"/>
  <c r="E9" i="1"/>
  <c r="F9" i="1"/>
  <c r="G9" i="1"/>
  <c r="H9" i="1"/>
  <c r="J9" i="1" s="1"/>
  <c r="I9" i="1"/>
  <c r="B10" i="1"/>
  <c r="H10" i="1" s="1"/>
  <c r="J10" i="1" s="1"/>
  <c r="C10" i="1"/>
  <c r="D10" i="1"/>
  <c r="E10" i="1"/>
  <c r="F10" i="1"/>
  <c r="G10" i="1"/>
  <c r="I10" i="1"/>
  <c r="B11" i="1"/>
  <c r="H11" i="1" s="1"/>
  <c r="J11" i="1" s="1"/>
  <c r="C11" i="1"/>
  <c r="D11" i="1"/>
  <c r="E11" i="1"/>
  <c r="F11" i="1"/>
  <c r="G11" i="1"/>
  <c r="I11" i="1"/>
  <c r="B12" i="1"/>
  <c r="H12" i="1" s="1"/>
  <c r="J12" i="1" s="1"/>
  <c r="C12" i="1"/>
  <c r="D12" i="1"/>
  <c r="E12" i="1"/>
  <c r="F12" i="1"/>
  <c r="G12" i="1"/>
  <c r="I12" i="1"/>
  <c r="B13" i="1"/>
  <c r="C13" i="1"/>
  <c r="D13" i="1"/>
  <c r="E13" i="1"/>
  <c r="F13" i="1"/>
  <c r="G13" i="1"/>
  <c r="H13" i="1"/>
  <c r="J13" i="1" s="1"/>
  <c r="I13" i="1"/>
  <c r="B14" i="1"/>
  <c r="H14" i="1" s="1"/>
  <c r="J14" i="1" s="1"/>
  <c r="C14" i="1"/>
  <c r="D14" i="1"/>
  <c r="E14" i="1"/>
  <c r="F14" i="1"/>
  <c r="G14" i="1"/>
  <c r="I14" i="1"/>
  <c r="B15" i="1"/>
  <c r="H15" i="1" s="1"/>
  <c r="J15" i="1" s="1"/>
  <c r="C15" i="1"/>
  <c r="D15" i="1"/>
  <c r="E15" i="1"/>
  <c r="F15" i="1"/>
  <c r="G15" i="1"/>
  <c r="I15" i="1"/>
  <c r="A6" i="1"/>
  <c r="A7" i="1"/>
  <c r="A8" i="1"/>
  <c r="A9" i="1"/>
  <c r="A10" i="1"/>
  <c r="A11" i="1"/>
  <c r="A12" i="1"/>
  <c r="A13" i="1"/>
  <c r="A14" i="1"/>
  <c r="A15" i="1"/>
  <c r="A16" i="1"/>
  <c r="D6" i="37"/>
  <c r="D7" i="37"/>
  <c r="D8" i="37"/>
  <c r="D9" i="37"/>
  <c r="D10" i="37"/>
  <c r="D11" i="37"/>
  <c r="D12" i="37"/>
  <c r="D13" i="37"/>
  <c r="D14" i="37"/>
  <c r="D15" i="37"/>
  <c r="D16" i="37"/>
  <c r="D5" i="37"/>
  <c r="B6" i="37"/>
  <c r="B7" i="37"/>
  <c r="B8" i="37"/>
  <c r="B9" i="37"/>
  <c r="C9" i="37" s="1"/>
  <c r="B10" i="37"/>
  <c r="C10" i="37" s="1"/>
  <c r="B11" i="37"/>
  <c r="C11" i="37" s="1"/>
  <c r="B12" i="37"/>
  <c r="B13" i="37"/>
  <c r="C13" i="37" s="1"/>
  <c r="B14" i="37"/>
  <c r="B15" i="37"/>
  <c r="B16" i="37"/>
  <c r="B5" i="37"/>
  <c r="C6" i="37"/>
  <c r="C7" i="37"/>
  <c r="C8" i="37"/>
  <c r="C12" i="37"/>
  <c r="C14" i="37"/>
  <c r="C15" i="37"/>
  <c r="C16" i="37"/>
  <c r="A6" i="37"/>
  <c r="A7" i="37"/>
  <c r="A8" i="37"/>
  <c r="A9" i="37"/>
  <c r="A10" i="37"/>
  <c r="A11" i="37"/>
  <c r="A12" i="37"/>
  <c r="A13" i="37"/>
  <c r="A14" i="37"/>
  <c r="A15" i="37"/>
  <c r="A16" i="37"/>
  <c r="I6" i="36"/>
  <c r="I7" i="36"/>
  <c r="I8" i="36"/>
  <c r="I9" i="36"/>
  <c r="I10" i="36"/>
  <c r="I11" i="36"/>
  <c r="I12" i="36"/>
  <c r="I13" i="36"/>
  <c r="I14" i="36"/>
  <c r="I15" i="36"/>
  <c r="I16" i="36"/>
  <c r="I5" i="36"/>
  <c r="H6" i="36"/>
  <c r="H7" i="36"/>
  <c r="H8" i="36"/>
  <c r="H9" i="36"/>
  <c r="H10" i="36"/>
  <c r="H11" i="36"/>
  <c r="H12" i="36"/>
  <c r="H13" i="36"/>
  <c r="H14" i="36"/>
  <c r="H15" i="36"/>
  <c r="H16" i="36"/>
  <c r="G6" i="36"/>
  <c r="G7" i="36"/>
  <c r="G8" i="36"/>
  <c r="G9" i="36"/>
  <c r="G10" i="36"/>
  <c r="G11" i="36"/>
  <c r="G12" i="36"/>
  <c r="G13" i="36"/>
  <c r="G14" i="36"/>
  <c r="G15" i="36"/>
  <c r="G16" i="36"/>
  <c r="G5" i="36"/>
  <c r="F6" i="36"/>
  <c r="F7" i="36"/>
  <c r="F8" i="36"/>
  <c r="F9" i="36"/>
  <c r="F10" i="36"/>
  <c r="F11" i="36"/>
  <c r="F12" i="36"/>
  <c r="F13" i="36"/>
  <c r="F14" i="36"/>
  <c r="F15" i="36"/>
  <c r="F16" i="36"/>
  <c r="F5" i="36"/>
  <c r="E6" i="36"/>
  <c r="E7" i="36"/>
  <c r="E8" i="36"/>
  <c r="E9" i="36"/>
  <c r="E10" i="36"/>
  <c r="E11" i="36"/>
  <c r="E12" i="36"/>
  <c r="E13" i="36"/>
  <c r="E14" i="36"/>
  <c r="E15" i="36"/>
  <c r="E16" i="36"/>
  <c r="E5" i="36"/>
  <c r="D6" i="36"/>
  <c r="D7" i="36"/>
  <c r="D8" i="36"/>
  <c r="D9" i="36"/>
  <c r="D10" i="36"/>
  <c r="D11" i="36"/>
  <c r="D12" i="36"/>
  <c r="D13" i="36"/>
  <c r="D14" i="36"/>
  <c r="D15" i="36"/>
  <c r="D16" i="36"/>
  <c r="D5" i="36"/>
  <c r="C6" i="36"/>
  <c r="C7" i="36"/>
  <c r="C8" i="36"/>
  <c r="C9" i="36"/>
  <c r="C10" i="36"/>
  <c r="C11" i="36"/>
  <c r="C12" i="36"/>
  <c r="C13" i="36"/>
  <c r="C14" i="36"/>
  <c r="C15" i="36"/>
  <c r="C16" i="36"/>
  <c r="C5" i="36"/>
  <c r="B6" i="36"/>
  <c r="B7" i="36"/>
  <c r="B8" i="36"/>
  <c r="B9" i="36"/>
  <c r="B10" i="36"/>
  <c r="B11" i="36"/>
  <c r="B12" i="36"/>
  <c r="B13" i="36"/>
  <c r="B14" i="36"/>
  <c r="B15" i="36"/>
  <c r="B16" i="36"/>
  <c r="B5" i="36"/>
  <c r="G4" i="36"/>
  <c r="F4" i="36"/>
  <c r="E4" i="36"/>
  <c r="D4" i="36"/>
  <c r="C4" i="36"/>
  <c r="B4" i="36"/>
  <c r="A6" i="36"/>
  <c r="A7" i="36"/>
  <c r="A8" i="36"/>
  <c r="A9" i="36"/>
  <c r="A10" i="36"/>
  <c r="A11" i="36"/>
  <c r="A12" i="36"/>
  <c r="A13" i="36"/>
  <c r="A14" i="36"/>
  <c r="A15" i="36"/>
  <c r="A16" i="36"/>
  <c r="A5" i="36"/>
  <c r="B13" i="51"/>
  <c r="C13" i="51" s="1"/>
  <c r="D13" i="51" s="1"/>
  <c r="B12" i="51"/>
  <c r="C12" i="51" s="1"/>
  <c r="D12" i="51" s="1"/>
  <c r="B11" i="51"/>
  <c r="C11" i="51" s="1"/>
  <c r="D11" i="51" s="1"/>
  <c r="C10" i="51"/>
  <c r="D10" i="51" s="1"/>
  <c r="B9" i="51"/>
  <c r="C9" i="51" s="1"/>
  <c r="D9" i="51" s="1"/>
  <c r="B8" i="51"/>
  <c r="C8" i="51" s="1"/>
  <c r="D8" i="51" s="1"/>
  <c r="B7" i="51"/>
  <c r="C7" i="51" s="1"/>
  <c r="D7" i="51" s="1"/>
  <c r="C6" i="51"/>
  <c r="D6" i="51" s="1"/>
  <c r="B6" i="51"/>
  <c r="B5" i="51"/>
  <c r="C5" i="51" s="1"/>
  <c r="D5" i="51" s="1"/>
  <c r="B4" i="51"/>
  <c r="C4" i="51" s="1"/>
  <c r="D4" i="51" s="1"/>
  <c r="B3" i="51"/>
  <c r="C3" i="51" s="1"/>
  <c r="D3" i="51" s="1"/>
  <c r="B2" i="51"/>
  <c r="C2" i="51" s="1"/>
  <c r="D2" i="51" s="1"/>
  <c r="G15" i="50"/>
  <c r="F15" i="50"/>
  <c r="E15" i="50"/>
  <c r="H15" i="50" s="1"/>
  <c r="A15" i="50"/>
  <c r="H14" i="50"/>
  <c r="G14" i="50"/>
  <c r="F14" i="50"/>
  <c r="E14" i="50"/>
  <c r="A14" i="50"/>
  <c r="G13" i="50"/>
  <c r="F13" i="50"/>
  <c r="E13" i="50"/>
  <c r="H13" i="50" s="1"/>
  <c r="A13" i="50"/>
  <c r="G12" i="50"/>
  <c r="F12" i="50"/>
  <c r="E12" i="50"/>
  <c r="H12" i="50" s="1"/>
  <c r="A12" i="50"/>
  <c r="G11" i="50"/>
  <c r="H11" i="50" s="1"/>
  <c r="F11" i="50"/>
  <c r="E11" i="50"/>
  <c r="A11" i="50"/>
  <c r="G10" i="50"/>
  <c r="F10" i="50"/>
  <c r="E10" i="50"/>
  <c r="H10" i="50" s="1"/>
  <c r="A10" i="50"/>
  <c r="G9" i="50"/>
  <c r="F9" i="50"/>
  <c r="E9" i="50"/>
  <c r="H9" i="50" s="1"/>
  <c r="A9" i="50"/>
  <c r="G8" i="50"/>
  <c r="F8" i="50"/>
  <c r="H8" i="50" s="1"/>
  <c r="E8" i="50"/>
  <c r="A8" i="50"/>
  <c r="G7" i="50"/>
  <c r="F7" i="50"/>
  <c r="E7" i="50"/>
  <c r="H7" i="50" s="1"/>
  <c r="A7" i="50"/>
  <c r="H6" i="50"/>
  <c r="G6" i="50"/>
  <c r="F6" i="50"/>
  <c r="E6" i="50"/>
  <c r="A6" i="50"/>
  <c r="G5" i="50"/>
  <c r="F5" i="50"/>
  <c r="E5" i="50"/>
  <c r="H5" i="50" s="1"/>
  <c r="A5" i="50"/>
  <c r="G4" i="50"/>
  <c r="F4" i="50"/>
  <c r="E4" i="50"/>
  <c r="H4" i="50" s="1"/>
  <c r="A4" i="50"/>
  <c r="G15" i="49" l="1"/>
  <c r="F15" i="49"/>
  <c r="E15" i="49"/>
  <c r="H15" i="49" s="1"/>
  <c r="A15" i="49"/>
  <c r="H14" i="49"/>
  <c r="G14" i="49"/>
  <c r="F14" i="49"/>
  <c r="E14" i="49"/>
  <c r="A14" i="49"/>
  <c r="G13" i="49"/>
  <c r="F13" i="49"/>
  <c r="E13" i="49"/>
  <c r="H13" i="49" s="1"/>
  <c r="A13" i="49"/>
  <c r="H12" i="49"/>
  <c r="G12" i="49"/>
  <c r="F12" i="49"/>
  <c r="E12" i="49"/>
  <c r="A12" i="49"/>
  <c r="G11" i="49"/>
  <c r="H11" i="49" s="1"/>
  <c r="F11" i="49"/>
  <c r="E11" i="49"/>
  <c r="A11" i="49"/>
  <c r="G10" i="49"/>
  <c r="F10" i="49"/>
  <c r="E10" i="49"/>
  <c r="H10" i="49" s="1"/>
  <c r="A10" i="49"/>
  <c r="G9" i="49"/>
  <c r="F9" i="49"/>
  <c r="E9" i="49"/>
  <c r="H9" i="49" s="1"/>
  <c r="A9" i="49"/>
  <c r="G8" i="49"/>
  <c r="F8" i="49"/>
  <c r="H8" i="49" s="1"/>
  <c r="E8" i="49"/>
  <c r="A8" i="49"/>
  <c r="G7" i="49"/>
  <c r="F7" i="49"/>
  <c r="E7" i="49"/>
  <c r="H7" i="49" s="1"/>
  <c r="A7" i="49"/>
  <c r="H6" i="49"/>
  <c r="G6" i="49"/>
  <c r="F6" i="49"/>
  <c r="E6" i="49"/>
  <c r="A6" i="49"/>
  <c r="G5" i="49"/>
  <c r="F5" i="49"/>
  <c r="E5" i="49"/>
  <c r="H5" i="49" s="1"/>
  <c r="A5" i="49"/>
  <c r="H4" i="49"/>
  <c r="G4" i="49"/>
  <c r="F4" i="49"/>
  <c r="E4" i="49"/>
  <c r="A4" i="49"/>
  <c r="G15" i="48" l="1"/>
  <c r="F15" i="48"/>
  <c r="E15" i="48"/>
  <c r="H15" i="48" s="1"/>
  <c r="A15" i="48"/>
  <c r="G14" i="48"/>
  <c r="F14" i="48"/>
  <c r="H14" i="48" s="1"/>
  <c r="E14" i="48"/>
  <c r="A14" i="48"/>
  <c r="G13" i="48"/>
  <c r="H13" i="48" s="1"/>
  <c r="F13" i="48"/>
  <c r="E13" i="48"/>
  <c r="A13" i="48"/>
  <c r="H12" i="48"/>
  <c r="G12" i="48"/>
  <c r="F12" i="48"/>
  <c r="E12" i="48"/>
  <c r="A12" i="48"/>
  <c r="G11" i="48"/>
  <c r="F11" i="48"/>
  <c r="E11" i="48"/>
  <c r="H11" i="48" s="1"/>
  <c r="A11" i="48"/>
  <c r="G10" i="48"/>
  <c r="F10" i="48"/>
  <c r="H10" i="48" s="1"/>
  <c r="E10" i="48"/>
  <c r="A10" i="48"/>
  <c r="G9" i="48"/>
  <c r="H9" i="48" s="1"/>
  <c r="F9" i="48"/>
  <c r="E9" i="48"/>
  <c r="A9" i="48"/>
  <c r="H8" i="48"/>
  <c r="G8" i="48"/>
  <c r="F8" i="48"/>
  <c r="E8" i="48"/>
  <c r="A8" i="48"/>
  <c r="G7" i="48"/>
  <c r="F7" i="48"/>
  <c r="E7" i="48"/>
  <c r="H7" i="48" s="1"/>
  <c r="A7" i="48"/>
  <c r="G6" i="48"/>
  <c r="F6" i="48"/>
  <c r="H6" i="48" s="1"/>
  <c r="E6" i="48"/>
  <c r="A6" i="48"/>
  <c r="G5" i="48"/>
  <c r="H5" i="48" s="1"/>
  <c r="F5" i="48"/>
  <c r="E5" i="48"/>
  <c r="A5" i="48"/>
  <c r="H4" i="48"/>
  <c r="G4" i="48"/>
  <c r="F4" i="48"/>
  <c r="E4" i="48"/>
  <c r="A4" i="48"/>
  <c r="G15" i="47" l="1"/>
  <c r="F15" i="47"/>
  <c r="E15" i="47"/>
  <c r="H15" i="47" s="1"/>
  <c r="A15" i="47"/>
  <c r="H14" i="47"/>
  <c r="G14" i="47"/>
  <c r="F14" i="47"/>
  <c r="E14" i="47"/>
  <c r="A14" i="47"/>
  <c r="G13" i="47"/>
  <c r="F13" i="47"/>
  <c r="E13" i="47"/>
  <c r="H13" i="47" s="1"/>
  <c r="A13" i="47"/>
  <c r="G12" i="47"/>
  <c r="F12" i="47"/>
  <c r="E12" i="47"/>
  <c r="H12" i="47" s="1"/>
  <c r="A12" i="47"/>
  <c r="G11" i="47"/>
  <c r="H11" i="47" s="1"/>
  <c r="F11" i="47"/>
  <c r="E11" i="47"/>
  <c r="A11" i="47"/>
  <c r="G10" i="47"/>
  <c r="F10" i="47"/>
  <c r="E10" i="47"/>
  <c r="H10" i="47" s="1"/>
  <c r="A10" i="47"/>
  <c r="G9" i="47"/>
  <c r="F9" i="47"/>
  <c r="E9" i="47"/>
  <c r="H9" i="47" s="1"/>
  <c r="A9" i="47"/>
  <c r="G8" i="47"/>
  <c r="F8" i="47"/>
  <c r="H8" i="47" s="1"/>
  <c r="E8" i="47"/>
  <c r="A8" i="47"/>
  <c r="G7" i="47"/>
  <c r="F7" i="47"/>
  <c r="E7" i="47"/>
  <c r="H7" i="47" s="1"/>
  <c r="A7" i="47"/>
  <c r="H6" i="47"/>
  <c r="G6" i="47"/>
  <c r="F6" i="47"/>
  <c r="E6" i="47"/>
  <c r="A6" i="47"/>
  <c r="G5" i="47"/>
  <c r="F5" i="47"/>
  <c r="E5" i="47"/>
  <c r="H5" i="47" s="1"/>
  <c r="A5" i="47"/>
  <c r="G4" i="47"/>
  <c r="F4" i="47"/>
  <c r="E4" i="47"/>
  <c r="H4" i="47" s="1"/>
  <c r="A4" i="47"/>
  <c r="G15" i="46" l="1"/>
  <c r="F15" i="46"/>
  <c r="E15" i="46"/>
  <c r="H15" i="46" s="1"/>
  <c r="A15" i="46"/>
  <c r="G14" i="46"/>
  <c r="F14" i="46"/>
  <c r="H14" i="46" s="1"/>
  <c r="E14" i="46"/>
  <c r="A14" i="46"/>
  <c r="G13" i="46"/>
  <c r="F13" i="46"/>
  <c r="E13" i="46"/>
  <c r="H13" i="46" s="1"/>
  <c r="A13" i="46"/>
  <c r="H12" i="46"/>
  <c r="G12" i="46"/>
  <c r="F12" i="46"/>
  <c r="E12" i="46"/>
  <c r="A12" i="46"/>
  <c r="G11" i="46"/>
  <c r="F11" i="46"/>
  <c r="E11" i="46"/>
  <c r="H11" i="46" s="1"/>
  <c r="A11" i="46"/>
  <c r="G10" i="46"/>
  <c r="F10" i="46"/>
  <c r="E10" i="46"/>
  <c r="H10" i="46" s="1"/>
  <c r="A10" i="46"/>
  <c r="G9" i="46"/>
  <c r="H9" i="46" s="1"/>
  <c r="F9" i="46"/>
  <c r="E9" i="46"/>
  <c r="A9" i="46"/>
  <c r="G8" i="46"/>
  <c r="F8" i="46"/>
  <c r="E8" i="46"/>
  <c r="H8" i="46" s="1"/>
  <c r="A8" i="46"/>
  <c r="G7" i="46"/>
  <c r="F7" i="46"/>
  <c r="E7" i="46"/>
  <c r="H7" i="46" s="1"/>
  <c r="A7" i="46"/>
  <c r="G6" i="46"/>
  <c r="F6" i="46"/>
  <c r="H6" i="46" s="1"/>
  <c r="E6" i="46"/>
  <c r="A6" i="46"/>
  <c r="G5" i="46"/>
  <c r="F5" i="46"/>
  <c r="E5" i="46"/>
  <c r="H5" i="46" s="1"/>
  <c r="A5" i="46"/>
  <c r="H4" i="46"/>
  <c r="G4" i="46"/>
  <c r="F4" i="46"/>
  <c r="E4" i="46"/>
  <c r="A4" i="46"/>
  <c r="G15" i="45" l="1"/>
  <c r="F15" i="45"/>
  <c r="E15" i="45"/>
  <c r="H15" i="45" s="1"/>
  <c r="A15" i="45"/>
  <c r="H14" i="45"/>
  <c r="G14" i="45"/>
  <c r="F14" i="45"/>
  <c r="E14" i="45"/>
  <c r="A14" i="45"/>
  <c r="G13" i="45"/>
  <c r="F13" i="45"/>
  <c r="E13" i="45"/>
  <c r="H13" i="45" s="1"/>
  <c r="A13" i="45"/>
  <c r="G12" i="45"/>
  <c r="F12" i="45"/>
  <c r="E12" i="45"/>
  <c r="H12" i="45" s="1"/>
  <c r="A12" i="45"/>
  <c r="G11" i="45"/>
  <c r="H11" i="45" s="1"/>
  <c r="F11" i="45"/>
  <c r="E11" i="45"/>
  <c r="A11" i="45"/>
  <c r="G10" i="45"/>
  <c r="F10" i="45"/>
  <c r="E10" i="45"/>
  <c r="H10" i="45" s="1"/>
  <c r="A10" i="45"/>
  <c r="G9" i="45"/>
  <c r="F9" i="45"/>
  <c r="E9" i="45"/>
  <c r="H9" i="45" s="1"/>
  <c r="A9" i="45"/>
  <c r="G8" i="45"/>
  <c r="F8" i="45"/>
  <c r="H8" i="45" s="1"/>
  <c r="E8" i="45"/>
  <c r="A8" i="45"/>
  <c r="G7" i="45"/>
  <c r="F7" i="45"/>
  <c r="E7" i="45"/>
  <c r="H7" i="45" s="1"/>
  <c r="A7" i="45"/>
  <c r="H6" i="45"/>
  <c r="G6" i="45"/>
  <c r="F6" i="45"/>
  <c r="E6" i="45"/>
  <c r="A6" i="45"/>
  <c r="G5" i="45"/>
  <c r="F5" i="45"/>
  <c r="E5" i="45"/>
  <c r="H5" i="45" s="1"/>
  <c r="A5" i="45"/>
  <c r="G4" i="45"/>
  <c r="F4" i="45"/>
  <c r="E4" i="45"/>
  <c r="H4" i="45" s="1"/>
  <c r="A4" i="45"/>
  <c r="B4" i="37" l="1"/>
  <c r="D4" i="1" l="1"/>
  <c r="E4" i="1"/>
  <c r="G4" i="1"/>
  <c r="F4" i="1"/>
  <c r="C4" i="1"/>
  <c r="B4" i="1"/>
  <c r="A5" i="37"/>
  <c r="A5" i="1" s="1"/>
  <c r="B5" i="1" l="1"/>
  <c r="C5" i="1"/>
  <c r="G5" i="1"/>
  <c r="F5" i="1"/>
  <c r="E5" i="1"/>
  <c r="D5" i="1"/>
  <c r="H5" i="1" l="1"/>
  <c r="H5" i="36"/>
  <c r="C5" i="37"/>
  <c r="I5" i="1" l="1"/>
  <c r="J5" i="1" s="1"/>
</calcChain>
</file>

<file path=xl/sharedStrings.xml><?xml version="1.0" encoding="utf-8"?>
<sst xmlns="http://schemas.openxmlformats.org/spreadsheetml/2006/main" count="116" uniqueCount="66">
  <si>
    <t>Company/Vendor Name</t>
  </si>
  <si>
    <t>Ranking</t>
  </si>
  <si>
    <r>
      <t>RESPONDENT SUMMARY</t>
    </r>
    <r>
      <rPr>
        <b/>
        <sz val="12"/>
        <color rgb="FFFF0000"/>
        <rFont val="Arial"/>
        <family val="2"/>
      </rPr>
      <t xml:space="preserve"> </t>
    </r>
  </si>
  <si>
    <t>Average  Technical Score</t>
  </si>
  <si>
    <t>Non-Technical Score                      (cost)</t>
  </si>
  <si>
    <t>Average Technical Score</t>
  </si>
  <si>
    <t>Total Score</t>
  </si>
  <si>
    <t xml:space="preserve">RESPONDENT SUMMARY </t>
  </si>
  <si>
    <t>Company/Vendor Name:</t>
  </si>
  <si>
    <t>Criteria 1</t>
  </si>
  <si>
    <t>Criteria 2</t>
  </si>
  <si>
    <t>Criteria 3</t>
  </si>
  <si>
    <t>TOTAL</t>
  </si>
  <si>
    <t>RFP783-17006 Energy Consulting</t>
  </si>
  <si>
    <t>Vendor</t>
  </si>
  <si>
    <t>Maximum Fees and Expenses for 5 Year Contract</t>
  </si>
  <si>
    <t>Delta Between Lowest Cost and Other Costs</t>
  </si>
  <si>
    <t>Raw Score</t>
  </si>
  <si>
    <t>Comment</t>
  </si>
  <si>
    <t>Acclaim Energy, LTD</t>
  </si>
  <si>
    <t>Maximum fee amount for 5 year contract</t>
  </si>
  <si>
    <t>Amerex Brokers, LLC</t>
  </si>
  <si>
    <t>Bernhard TME, LLC</t>
  </si>
  <si>
    <t>Brasovan Energy</t>
  </si>
  <si>
    <t>Energy Advisory Service</t>
  </si>
  <si>
    <t>$2,000/month after consulting contract signed (August 2017) to end of energy supply contracts (December 2023)</t>
  </si>
  <si>
    <t>EnerNoc</t>
  </si>
  <si>
    <t>EnerNoc confirmed fees and expenses over 5 year contract.</t>
  </si>
  <si>
    <t>Fowler Energy Company</t>
  </si>
  <si>
    <t>River Oaks Energy</t>
  </si>
  <si>
    <t>Schneider Engineering</t>
  </si>
  <si>
    <t>Schneider confirmed $170,000 is maximum amount including expenses over 5 years.</t>
  </si>
  <si>
    <t>Texas Energy Market</t>
  </si>
  <si>
    <t>Fixed fees and expenses</t>
  </si>
  <si>
    <t>Van Brunt Associates</t>
  </si>
  <si>
    <t>Vervantis</t>
  </si>
  <si>
    <t>Vervantis confirmed that estimated expenses are included.</t>
  </si>
  <si>
    <t>Evaluator 1</t>
  </si>
  <si>
    <t>Evaluator 2</t>
  </si>
  <si>
    <t>Evaluator 3</t>
  </si>
  <si>
    <t>Evaluator 4</t>
  </si>
  <si>
    <t>Evaluator 5</t>
  </si>
  <si>
    <t>Evaluator 6</t>
  </si>
  <si>
    <t>Prepared By: Buyer 2 8/7/17</t>
  </si>
  <si>
    <t>Checked By : Buyer 3 8/7/17</t>
  </si>
  <si>
    <t>RESPONDENT EVALUATION MATRIX</t>
  </si>
  <si>
    <t>Evaluator Name:</t>
  </si>
  <si>
    <t>Name</t>
  </si>
  <si>
    <t xml:space="preserve">Criteria 1 </t>
  </si>
  <si>
    <t>Demonstrated ability of the Contractor to provide services outlined in section 6.2 of this RFP.  Provide specific examples of services provided to clients of a similar size and complexity as the University of Houston System, preferably state universities in Texas.</t>
  </si>
  <si>
    <t>Professional expertise of individuals who will be assigned to the University of Houston System, as indicated by their professional training, industry certifications, and relevant experience.  These individuals must have a thorough understanding of the natural gas and electricity supply markets, industry regulations in Texas and their impact on state university clients, and taxes and fees that apply to (or don’t apply to) state university clients.</t>
  </si>
  <si>
    <t>Total</t>
  </si>
  <si>
    <t>POINTS (1-5)</t>
  </si>
  <si>
    <t>WEIGHT</t>
  </si>
  <si>
    <t>SCORE</t>
  </si>
  <si>
    <r>
      <t xml:space="preserve">Instructions:  </t>
    </r>
    <r>
      <rPr>
        <sz val="10"/>
        <rFont val="Arial"/>
        <family val="2"/>
      </rPr>
      <t xml:space="preserve">Please rate the vendor from 1 to 5, using the following criteria to indicate to what level you agree with the statements below, as they related to the vendor's response. </t>
    </r>
  </si>
  <si>
    <t>*Note:  Total should be equal to 100 if received 5-point per criterion.</t>
  </si>
  <si>
    <t>*Note: Insert point under the 'Points' columns</t>
  </si>
  <si>
    <t>Point Scale</t>
  </si>
  <si>
    <t>5.0 to 4.5 = Exceptional, exceeds and fully meets all requirements</t>
  </si>
  <si>
    <t>4.4 to 3.5 = Advantageous, exceeds some requirements</t>
  </si>
  <si>
    <t>3.4 to 2.5 = Meets minimal requirements</t>
  </si>
  <si>
    <t>2.4 to 1.5 = Addresses most of the minimal requirements</t>
  </si>
  <si>
    <t>1.4 to 1.0 = Addresses part of minimal requirements</t>
  </si>
  <si>
    <t>0 = No Response</t>
  </si>
  <si>
    <r>
      <rPr>
        <b/>
        <sz val="10"/>
        <rFont val="Calibri"/>
        <family val="2"/>
        <scheme val="minor"/>
      </rPr>
      <t>Maximum dollar amount Contractor will charge for fees and expenses for providing the requested services over a five year period.  Show calculation of fees and expenses.</t>
    </r>
    <r>
      <rPr>
        <b/>
        <sz val="10"/>
        <color rgb="FFFF0000"/>
        <rFont val="Calibri"/>
        <family val="2"/>
        <scheme val="minor"/>
      </rPr>
      <t xml:space="preserve">
**Do not evaluate cost.  Evaluator 1  will evaluate cost**</t>
    </r>
  </si>
</sst>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quot;* #,##0.00_);_(&quot;$&quot;* \(#,##0.00\);_(&quot;$&quot;* &quot;-&quot;??_);_(@_)"/>
    <numFmt numFmtId="43" formatCode="_(* #,##0.00_);_(* \(#,##0.00\);_(* &quot;-&quot;??_);_(@_)"/>
    <numFmt numFmtId="164" formatCode="_(* #,##0_);_(* \(#,##0\);_(* &quot;-&quot;??_);_(@_)"/>
  </numFmts>
  <fonts count="54"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name val="Arial"/>
      <family val="2"/>
    </font>
    <font>
      <sz val="12"/>
      <name val="Arial"/>
      <family val="2"/>
    </font>
    <font>
      <sz val="10"/>
      <name val="Arial"/>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2"/>
      <color rgb="FFFF0000"/>
      <name val="Arial"/>
      <family val="2"/>
    </font>
    <font>
      <b/>
      <sz val="10"/>
      <color theme="1"/>
      <name val="Calibri"/>
      <family val="2"/>
      <scheme val="minor"/>
    </font>
    <font>
      <b/>
      <sz val="10"/>
      <name val="Calibri"/>
      <family val="2"/>
      <scheme val="minor"/>
    </font>
    <font>
      <sz val="10"/>
      <name val="Calibri"/>
      <family val="2"/>
      <scheme val="minor"/>
    </font>
    <font>
      <sz val="10"/>
      <name val="Arial"/>
    </font>
    <font>
      <sz val="12"/>
      <color rgb="FFFF0000"/>
      <name val="Arial"/>
      <family val="2"/>
    </font>
    <font>
      <sz val="11"/>
      <name val="Arial"/>
      <family val="2"/>
    </font>
    <font>
      <b/>
      <sz val="11"/>
      <name val="Calibri"/>
      <family val="2"/>
      <scheme val="minor"/>
    </font>
    <font>
      <sz val="10"/>
      <color theme="1"/>
      <name val="Calibri"/>
      <family val="2"/>
      <scheme val="minor"/>
    </font>
    <font>
      <b/>
      <sz val="10"/>
      <color rgb="FFFF0000"/>
      <name val="Calibri"/>
      <family val="2"/>
      <scheme val="minor"/>
    </font>
    <font>
      <b/>
      <sz val="10"/>
      <name val="Arial"/>
      <family val="2"/>
    </font>
  </fonts>
  <fills count="30">
    <fill>
      <patternFill patternType="none"/>
    </fill>
    <fill>
      <patternFill patternType="gray125"/>
    </fill>
    <fill>
      <patternFill patternType="solid">
        <fgColor indexed="50"/>
        <bgColor indexed="64"/>
      </patternFill>
    </fill>
    <fill>
      <patternFill patternType="solid">
        <fgColor rgb="FFFFC000"/>
        <bgColor indexed="64"/>
      </patternFill>
    </fill>
    <fill>
      <patternFill patternType="solid">
        <fgColor indexed="26"/>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rgb="FFFF0000"/>
        <bgColor indexed="64"/>
      </patternFill>
    </fill>
    <fill>
      <patternFill patternType="solid">
        <fgColor rgb="FFFFFF00"/>
        <bgColor indexed="64"/>
      </patternFill>
    </fill>
    <fill>
      <patternFill patternType="solid">
        <fgColor theme="6" tint="0.39997558519241921"/>
        <bgColor indexed="64"/>
      </patternFill>
    </fill>
    <fill>
      <patternFill patternType="solid">
        <fgColor theme="8" tint="0.59999389629810485"/>
        <bgColor indexed="64"/>
      </patternFill>
    </fill>
  </fills>
  <borders count="45">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top/>
      <bottom style="thin">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thin">
        <color indexed="64"/>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medium">
        <color indexed="64"/>
      </right>
      <top/>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double">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style="double">
        <color indexed="64"/>
      </right>
      <top style="thin">
        <color indexed="64"/>
      </top>
      <bottom style="double">
        <color indexed="64"/>
      </bottom>
      <diagonal/>
    </border>
  </borders>
  <cellStyleXfs count="115">
    <xf numFmtId="0" fontId="0" fillId="0" borderId="0"/>
    <xf numFmtId="44" fontId="24" fillId="0" borderId="0" applyFont="0" applyFill="0" applyBorder="0" applyAlignment="0" applyProtection="0"/>
    <xf numFmtId="0" fontId="24" fillId="0" borderId="0"/>
    <xf numFmtId="0" fontId="21" fillId="0" borderId="0"/>
    <xf numFmtId="0" fontId="21" fillId="0" borderId="0"/>
    <xf numFmtId="0" fontId="24" fillId="4" borderId="7" applyNumberFormat="0" applyFont="0" applyAlignment="0" applyProtection="0"/>
    <xf numFmtId="0" fontId="26" fillId="5" borderId="0" applyNumberFormat="0" applyBorder="0" applyAlignment="0" applyProtection="0"/>
    <xf numFmtId="0" fontId="26" fillId="6" borderId="0" applyNumberFormat="0" applyBorder="0" applyAlignment="0" applyProtection="0"/>
    <xf numFmtId="0" fontId="26" fillId="7" borderId="0" applyNumberFormat="0" applyBorder="0" applyAlignment="0" applyProtection="0"/>
    <xf numFmtId="0" fontId="26" fillId="8" borderId="0" applyNumberFormat="0" applyBorder="0" applyAlignment="0" applyProtection="0"/>
    <xf numFmtId="0" fontId="26" fillId="9" borderId="0" applyNumberFormat="0" applyBorder="0" applyAlignment="0" applyProtection="0"/>
    <xf numFmtId="0" fontId="26" fillId="10" borderId="0" applyNumberFormat="0" applyBorder="0" applyAlignment="0" applyProtection="0"/>
    <xf numFmtId="0" fontId="26" fillId="11" borderId="0" applyNumberFormat="0" applyBorder="0" applyAlignment="0" applyProtection="0"/>
    <xf numFmtId="0" fontId="26" fillId="12" borderId="0" applyNumberFormat="0" applyBorder="0" applyAlignment="0" applyProtection="0"/>
    <xf numFmtId="0" fontId="26" fillId="13" borderId="0" applyNumberFormat="0" applyBorder="0" applyAlignment="0" applyProtection="0"/>
    <xf numFmtId="0" fontId="26" fillId="8" borderId="0" applyNumberFormat="0" applyBorder="0" applyAlignment="0" applyProtection="0"/>
    <xf numFmtId="0" fontId="26" fillId="11" borderId="0" applyNumberFormat="0" applyBorder="0" applyAlignment="0" applyProtection="0"/>
    <xf numFmtId="0" fontId="26" fillId="14" borderId="0" applyNumberFormat="0" applyBorder="0" applyAlignment="0" applyProtection="0"/>
    <xf numFmtId="0" fontId="27" fillId="15" borderId="0" applyNumberFormat="0" applyBorder="0" applyAlignment="0" applyProtection="0"/>
    <xf numFmtId="0" fontId="27" fillId="12" borderId="0" applyNumberFormat="0" applyBorder="0" applyAlignment="0" applyProtection="0"/>
    <xf numFmtId="0" fontId="27" fillId="13" borderId="0" applyNumberFormat="0" applyBorder="0" applyAlignment="0" applyProtection="0"/>
    <xf numFmtId="0" fontId="27" fillId="16" borderId="0" applyNumberFormat="0" applyBorder="0" applyAlignment="0" applyProtection="0"/>
    <xf numFmtId="0" fontId="27" fillId="17" borderId="0" applyNumberFormat="0" applyBorder="0" applyAlignment="0" applyProtection="0"/>
    <xf numFmtId="0" fontId="27" fillId="18" borderId="0" applyNumberFormat="0" applyBorder="0" applyAlignment="0" applyProtection="0"/>
    <xf numFmtId="0" fontId="27" fillId="19" borderId="0" applyNumberFormat="0" applyBorder="0" applyAlignment="0" applyProtection="0"/>
    <xf numFmtId="0" fontId="27" fillId="20" borderId="0" applyNumberFormat="0" applyBorder="0" applyAlignment="0" applyProtection="0"/>
    <xf numFmtId="0" fontId="27" fillId="21" borderId="0" applyNumberFormat="0" applyBorder="0" applyAlignment="0" applyProtection="0"/>
    <xf numFmtId="0" fontId="27" fillId="16" borderId="0" applyNumberFormat="0" applyBorder="0" applyAlignment="0" applyProtection="0"/>
    <xf numFmtId="0" fontId="27" fillId="17" borderId="0" applyNumberFormat="0" applyBorder="0" applyAlignment="0" applyProtection="0"/>
    <xf numFmtId="0" fontId="27" fillId="22" borderId="0" applyNumberFormat="0" applyBorder="0" applyAlignment="0" applyProtection="0"/>
    <xf numFmtId="0" fontId="28" fillId="6" borderId="0" applyNumberFormat="0" applyBorder="0" applyAlignment="0" applyProtection="0"/>
    <xf numFmtId="0" fontId="29" fillId="23" borderId="8" applyNumberFormat="0" applyAlignment="0" applyProtection="0"/>
    <xf numFmtId="0" fontId="30" fillId="24" borderId="9" applyNumberFormat="0" applyAlignment="0" applyProtection="0"/>
    <xf numFmtId="0" fontId="31" fillId="0" borderId="0" applyNumberFormat="0" applyFill="0" applyBorder="0" applyAlignment="0" applyProtection="0"/>
    <xf numFmtId="0" fontId="32" fillId="7" borderId="0" applyNumberFormat="0" applyBorder="0" applyAlignment="0" applyProtection="0"/>
    <xf numFmtId="0" fontId="33" fillId="0" borderId="10" applyNumberFormat="0" applyFill="0" applyAlignment="0" applyProtection="0"/>
    <xf numFmtId="0" fontId="34" fillId="0" borderId="11" applyNumberFormat="0" applyFill="0" applyAlignment="0" applyProtection="0"/>
    <xf numFmtId="0" fontId="35" fillId="0" borderId="12" applyNumberFormat="0" applyFill="0" applyAlignment="0" applyProtection="0"/>
    <xf numFmtId="0" fontId="35" fillId="0" borderId="0" applyNumberFormat="0" applyFill="0" applyBorder="0" applyAlignment="0" applyProtection="0"/>
    <xf numFmtId="0" fontId="36" fillId="10" borderId="8" applyNumberFormat="0" applyAlignment="0" applyProtection="0"/>
    <xf numFmtId="0" fontId="37" fillId="0" borderId="13" applyNumberFormat="0" applyFill="0" applyAlignment="0" applyProtection="0"/>
    <xf numFmtId="0" fontId="38" fillId="25" borderId="0" applyNumberFormat="0" applyBorder="0" applyAlignment="0" applyProtection="0"/>
    <xf numFmtId="0" fontId="25" fillId="4" borderId="7" applyNumberFormat="0" applyFont="0" applyAlignment="0" applyProtection="0"/>
    <xf numFmtId="0" fontId="39" fillId="23" borderId="14" applyNumberFormat="0" applyAlignment="0" applyProtection="0"/>
    <xf numFmtId="0" fontId="40" fillId="0" borderId="0" applyNumberFormat="0" applyFill="0" applyBorder="0" applyAlignment="0" applyProtection="0"/>
    <xf numFmtId="0" fontId="41" fillId="0" borderId="15" applyNumberFormat="0" applyFill="0" applyAlignment="0" applyProtection="0"/>
    <xf numFmtId="0" fontId="42" fillId="0" borderId="0" applyNumberFormat="0" applyFill="0" applyBorder="0" applyAlignment="0" applyProtection="0"/>
    <xf numFmtId="0" fontId="20" fillId="0" borderId="0"/>
    <xf numFmtId="0" fontId="26" fillId="5" borderId="0" applyNumberFormat="0" applyBorder="0" applyAlignment="0" applyProtection="0"/>
    <xf numFmtId="0" fontId="26" fillId="6" borderId="0" applyNumberFormat="0" applyBorder="0" applyAlignment="0" applyProtection="0"/>
    <xf numFmtId="0" fontId="26" fillId="7" borderId="0" applyNumberFormat="0" applyBorder="0" applyAlignment="0" applyProtection="0"/>
    <xf numFmtId="0" fontId="26" fillId="8" borderId="0" applyNumberFormat="0" applyBorder="0" applyAlignment="0" applyProtection="0"/>
    <xf numFmtId="0" fontId="26" fillId="9" borderId="0" applyNumberFormat="0" applyBorder="0" applyAlignment="0" applyProtection="0"/>
    <xf numFmtId="0" fontId="26" fillId="10" borderId="0" applyNumberFormat="0" applyBorder="0" applyAlignment="0" applyProtection="0"/>
    <xf numFmtId="0" fontId="26" fillId="11" borderId="0" applyNumberFormat="0" applyBorder="0" applyAlignment="0" applyProtection="0"/>
    <xf numFmtId="0" fontId="26" fillId="12" borderId="0" applyNumberFormat="0" applyBorder="0" applyAlignment="0" applyProtection="0"/>
    <xf numFmtId="0" fontId="26" fillId="13" borderId="0" applyNumberFormat="0" applyBorder="0" applyAlignment="0" applyProtection="0"/>
    <xf numFmtId="0" fontId="26" fillId="8" borderId="0" applyNumberFormat="0" applyBorder="0" applyAlignment="0" applyProtection="0"/>
    <xf numFmtId="0" fontId="26" fillId="11" borderId="0" applyNumberFormat="0" applyBorder="0" applyAlignment="0" applyProtection="0"/>
    <xf numFmtId="0" fontId="26" fillId="14" borderId="0" applyNumberFormat="0" applyBorder="0" applyAlignment="0" applyProtection="0"/>
    <xf numFmtId="0" fontId="27" fillId="15" borderId="0" applyNumberFormat="0" applyBorder="0" applyAlignment="0" applyProtection="0"/>
    <xf numFmtId="0" fontId="27" fillId="12" borderId="0" applyNumberFormat="0" applyBorder="0" applyAlignment="0" applyProtection="0"/>
    <xf numFmtId="0" fontId="27" fillId="13" borderId="0" applyNumberFormat="0" applyBorder="0" applyAlignment="0" applyProtection="0"/>
    <xf numFmtId="0" fontId="27" fillId="16" borderId="0" applyNumberFormat="0" applyBorder="0" applyAlignment="0" applyProtection="0"/>
    <xf numFmtId="0" fontId="27" fillId="17" borderId="0" applyNumberFormat="0" applyBorder="0" applyAlignment="0" applyProtection="0"/>
    <xf numFmtId="0" fontId="27" fillId="18" borderId="0" applyNumberFormat="0" applyBorder="0" applyAlignment="0" applyProtection="0"/>
    <xf numFmtId="0" fontId="27" fillId="19" borderId="0" applyNumberFormat="0" applyBorder="0" applyAlignment="0" applyProtection="0"/>
    <xf numFmtId="0" fontId="27" fillId="20" borderId="0" applyNumberFormat="0" applyBorder="0" applyAlignment="0" applyProtection="0"/>
    <xf numFmtId="0" fontId="27" fillId="21" borderId="0" applyNumberFormat="0" applyBorder="0" applyAlignment="0" applyProtection="0"/>
    <xf numFmtId="0" fontId="27" fillId="16" borderId="0" applyNumberFormat="0" applyBorder="0" applyAlignment="0" applyProtection="0"/>
    <xf numFmtId="0" fontId="27" fillId="17" borderId="0" applyNumberFormat="0" applyBorder="0" applyAlignment="0" applyProtection="0"/>
    <xf numFmtId="0" fontId="27" fillId="22" borderId="0" applyNumberFormat="0" applyBorder="0" applyAlignment="0" applyProtection="0"/>
    <xf numFmtId="0" fontId="28" fillId="6" borderId="0" applyNumberFormat="0" applyBorder="0" applyAlignment="0" applyProtection="0"/>
    <xf numFmtId="0" fontId="29" fillId="23" borderId="8" applyNumberFormat="0" applyAlignment="0" applyProtection="0"/>
    <xf numFmtId="0" fontId="30" fillId="24" borderId="9" applyNumberFormat="0" applyAlignment="0" applyProtection="0"/>
    <xf numFmtId="0" fontId="31" fillId="0" borderId="0" applyNumberFormat="0" applyFill="0" applyBorder="0" applyAlignment="0" applyProtection="0"/>
    <xf numFmtId="0" fontId="32" fillId="7" borderId="0" applyNumberFormat="0" applyBorder="0" applyAlignment="0" applyProtection="0"/>
    <xf numFmtId="0" fontId="33" fillId="0" borderId="10" applyNumberFormat="0" applyFill="0" applyAlignment="0" applyProtection="0"/>
    <xf numFmtId="0" fontId="34" fillId="0" borderId="11" applyNumberFormat="0" applyFill="0" applyAlignment="0" applyProtection="0"/>
    <xf numFmtId="0" fontId="35" fillId="0" borderId="12" applyNumberFormat="0" applyFill="0" applyAlignment="0" applyProtection="0"/>
    <xf numFmtId="0" fontId="35" fillId="0" borderId="0" applyNumberFormat="0" applyFill="0" applyBorder="0" applyAlignment="0" applyProtection="0"/>
    <xf numFmtId="0" fontId="36" fillId="10" borderId="8" applyNumberFormat="0" applyAlignment="0" applyProtection="0"/>
    <xf numFmtId="0" fontId="37" fillId="0" borderId="13" applyNumberFormat="0" applyFill="0" applyAlignment="0" applyProtection="0"/>
    <xf numFmtId="0" fontId="38" fillId="25" borderId="0" applyNumberFormat="0" applyBorder="0" applyAlignment="0" applyProtection="0"/>
    <xf numFmtId="0" fontId="39" fillId="23" borderId="14" applyNumberFormat="0" applyAlignment="0" applyProtection="0"/>
    <xf numFmtId="0" fontId="40" fillId="0" borderId="0" applyNumberFormat="0" applyFill="0" applyBorder="0" applyAlignment="0" applyProtection="0"/>
    <xf numFmtId="0" fontId="41" fillId="0" borderId="15" applyNumberFormat="0" applyFill="0" applyAlignment="0" applyProtection="0"/>
    <xf numFmtId="0" fontId="42" fillId="0" borderId="0" applyNumberFormat="0" applyFill="0" applyBorder="0" applyAlignment="0" applyProtection="0"/>
    <xf numFmtId="0" fontId="24" fillId="0" borderId="0"/>
    <xf numFmtId="0" fontId="24" fillId="4" borderId="7" applyNumberFormat="0" applyFont="0" applyAlignment="0" applyProtection="0"/>
    <xf numFmtId="0" fontId="19" fillId="0" borderId="0"/>
    <xf numFmtId="0" fontId="18" fillId="0" borderId="0"/>
    <xf numFmtId="0" fontId="17" fillId="0" borderId="0"/>
    <xf numFmtId="0" fontId="16" fillId="0" borderId="0"/>
    <xf numFmtId="0" fontId="15" fillId="0" borderId="0"/>
    <xf numFmtId="0" fontId="14" fillId="0" borderId="0"/>
    <xf numFmtId="0" fontId="13" fillId="0" borderId="0"/>
    <xf numFmtId="0" fontId="12" fillId="0" borderId="0"/>
    <xf numFmtId="0" fontId="12" fillId="0" borderId="0"/>
    <xf numFmtId="0" fontId="11" fillId="0" borderId="0"/>
    <xf numFmtId="0" fontId="10" fillId="0" borderId="0"/>
    <xf numFmtId="0" fontId="10" fillId="0" borderId="0"/>
    <xf numFmtId="0" fontId="10" fillId="0" borderId="0"/>
    <xf numFmtId="9" fontId="10" fillId="0" borderId="0" applyFont="0" applyFill="0" applyBorder="0" applyAlignment="0" applyProtection="0"/>
    <xf numFmtId="9" fontId="10" fillId="0" borderId="0" applyFont="0" applyFill="0" applyBorder="0" applyAlignment="0" applyProtection="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43" fontId="47" fillId="0" borderId="0" applyFont="0" applyFill="0" applyBorder="0" applyAlignment="0" applyProtection="0"/>
    <xf numFmtId="0" fontId="2" fillId="0" borderId="0"/>
    <xf numFmtId="0" fontId="1" fillId="0" borderId="0"/>
  </cellStyleXfs>
  <cellXfs count="92">
    <xf numFmtId="0" fontId="0" fillId="0" borderId="0" xfId="0"/>
    <xf numFmtId="0" fontId="23" fillId="0" borderId="0" xfId="0" applyFont="1"/>
    <xf numFmtId="0" fontId="23" fillId="0" borderId="0" xfId="0" applyFont="1" applyBorder="1"/>
    <xf numFmtId="0" fontId="22" fillId="0" borderId="1" xfId="0" applyFont="1" applyBorder="1" applyAlignment="1">
      <alignment horizontal="center" vertical="center"/>
    </xf>
    <xf numFmtId="0" fontId="22" fillId="0" borderId="2" xfId="0" applyFont="1" applyFill="1" applyBorder="1" applyAlignment="1">
      <alignment horizontal="center" vertical="center" textRotation="90" wrapText="1"/>
    </xf>
    <xf numFmtId="0" fontId="22" fillId="0" borderId="2" xfId="0" applyFont="1" applyBorder="1" applyAlignment="1">
      <alignment horizontal="center" vertical="center" wrapText="1"/>
    </xf>
    <xf numFmtId="0" fontId="22" fillId="3" borderId="3" xfId="0" applyFont="1" applyFill="1" applyBorder="1" applyAlignment="1">
      <alignment horizontal="center" vertical="center"/>
    </xf>
    <xf numFmtId="0" fontId="22" fillId="0" borderId="0" xfId="0" applyFont="1" applyAlignment="1">
      <alignment horizontal="center" vertical="center"/>
    </xf>
    <xf numFmtId="0" fontId="23" fillId="0" borderId="4" xfId="0" applyFont="1" applyFill="1" applyBorder="1" applyAlignment="1">
      <alignment horizontal="center"/>
    </xf>
    <xf numFmtId="4" fontId="23" fillId="0" borderId="5" xfId="0" applyNumberFormat="1" applyFont="1" applyBorder="1"/>
    <xf numFmtId="0" fontId="23" fillId="3" borderId="6" xfId="0" applyFont="1" applyFill="1" applyBorder="1" applyAlignment="1">
      <alignment horizontal="center"/>
    </xf>
    <xf numFmtId="4" fontId="23" fillId="0" borderId="16" xfId="0" applyNumberFormat="1" applyFont="1" applyBorder="1"/>
    <xf numFmtId="0" fontId="22" fillId="3" borderId="18" xfId="0" applyFont="1" applyFill="1" applyBorder="1" applyAlignment="1">
      <alignment horizontal="center" vertical="center"/>
    </xf>
    <xf numFmtId="0" fontId="22" fillId="0" borderId="19" xfId="0" applyFont="1" applyBorder="1" applyAlignment="1">
      <alignment horizontal="center" vertical="center" wrapText="1"/>
    </xf>
    <xf numFmtId="0" fontId="22" fillId="0" borderId="17" xfId="0" applyFont="1" applyBorder="1" applyAlignment="1">
      <alignment horizontal="center" vertical="center" wrapText="1"/>
    </xf>
    <xf numFmtId="0" fontId="22" fillId="0" borderId="20" xfId="0" applyFont="1" applyBorder="1" applyAlignment="1">
      <alignment horizontal="center" vertical="center" wrapText="1"/>
    </xf>
    <xf numFmtId="0" fontId="23" fillId="0" borderId="0" xfId="0" applyFont="1" applyFill="1"/>
    <xf numFmtId="0" fontId="22" fillId="0" borderId="0" xfId="0" applyFont="1" applyBorder="1" applyAlignment="1"/>
    <xf numFmtId="0" fontId="0" fillId="0" borderId="0" xfId="0" applyBorder="1"/>
    <xf numFmtId="0" fontId="46" fillId="0" borderId="0" xfId="0" applyFont="1"/>
    <xf numFmtId="0" fontId="46" fillId="3" borderId="0" xfId="0" applyFont="1" applyFill="1"/>
    <xf numFmtId="0" fontId="45" fillId="0" borderId="21" xfId="111" applyFont="1" applyBorder="1" applyAlignment="1">
      <alignment horizontal="center"/>
    </xf>
    <xf numFmtId="0" fontId="44" fillId="3" borderId="21" xfId="111" applyFont="1" applyFill="1" applyBorder="1" applyAlignment="1">
      <alignment horizontal="center"/>
    </xf>
    <xf numFmtId="0" fontId="45" fillId="0" borderId="21" xfId="113" applyFont="1" applyBorder="1" applyAlignment="1">
      <alignment horizontal="center"/>
    </xf>
    <xf numFmtId="0" fontId="44" fillId="3" borderId="21" xfId="113" applyFont="1" applyFill="1" applyBorder="1" applyAlignment="1">
      <alignment horizontal="center"/>
    </xf>
    <xf numFmtId="164" fontId="0" fillId="0" borderId="0" xfId="112" applyNumberFormat="1" applyFont="1" applyAlignment="1">
      <alignment wrapText="1"/>
    </xf>
    <xf numFmtId="164" fontId="0" fillId="0" borderId="0" xfId="112" applyNumberFormat="1" applyFont="1"/>
    <xf numFmtId="43" fontId="0" fillId="0" borderId="0" xfId="112" applyFont="1"/>
    <xf numFmtId="0" fontId="0" fillId="0" borderId="0" xfId="0" applyAlignment="1">
      <alignment wrapText="1"/>
    </xf>
    <xf numFmtId="0" fontId="22" fillId="26" borderId="2" xfId="0" applyFont="1" applyFill="1" applyBorder="1" applyAlignment="1">
      <alignment horizontal="center" vertical="center" textRotation="90" wrapText="1"/>
    </xf>
    <xf numFmtId="0" fontId="48" fillId="0" borderId="0" xfId="0" applyFont="1" applyFill="1"/>
    <xf numFmtId="0" fontId="22" fillId="0" borderId="0" xfId="0" applyFont="1" applyAlignment="1"/>
    <xf numFmtId="0" fontId="49" fillId="0" borderId="0" xfId="0" applyFont="1"/>
    <xf numFmtId="0" fontId="50" fillId="0" borderId="0" xfId="0" applyFont="1" applyBorder="1" applyAlignment="1">
      <alignment horizontal="center"/>
    </xf>
    <xf numFmtId="0" fontId="51" fillId="0" borderId="0" xfId="114" applyFont="1"/>
    <xf numFmtId="0" fontId="44" fillId="3" borderId="25" xfId="114" applyFont="1" applyFill="1" applyBorder="1" applyAlignment="1">
      <alignment horizontal="center" vertical="center"/>
    </xf>
    <xf numFmtId="0" fontId="44" fillId="0" borderId="0" xfId="114" applyFont="1" applyAlignment="1">
      <alignment horizontal="center"/>
    </xf>
    <xf numFmtId="0" fontId="45" fillId="28" borderId="26" xfId="114" applyFont="1" applyFill="1" applyBorder="1" applyAlignment="1">
      <alignment horizontal="center"/>
    </xf>
    <xf numFmtId="0" fontId="45" fillId="0" borderId="27" xfId="114" applyFont="1" applyFill="1" applyBorder="1" applyAlignment="1">
      <alignment horizontal="center"/>
    </xf>
    <xf numFmtId="0" fontId="45" fillId="29" borderId="28" xfId="114" applyFont="1" applyFill="1" applyBorder="1" applyAlignment="1">
      <alignment horizontal="center"/>
    </xf>
    <xf numFmtId="0" fontId="44" fillId="28" borderId="26" xfId="114" applyFont="1" applyFill="1" applyBorder="1" applyAlignment="1">
      <alignment horizontal="center"/>
    </xf>
    <xf numFmtId="0" fontId="44" fillId="0" borderId="27" xfId="114" applyFont="1" applyFill="1" applyBorder="1" applyAlignment="1">
      <alignment horizontal="center"/>
    </xf>
    <xf numFmtId="0" fontId="44" fillId="29" borderId="28" xfId="114" applyFont="1" applyFill="1" applyBorder="1" applyAlignment="1">
      <alignment horizontal="center"/>
    </xf>
    <xf numFmtId="0" fontId="51" fillId="0" borderId="29" xfId="114" applyFont="1" applyBorder="1" applyAlignment="1">
      <alignment horizontal="center"/>
    </xf>
    <xf numFmtId="0" fontId="24" fillId="0" borderId="30" xfId="88" applyFont="1" applyFill="1" applyBorder="1" applyAlignment="1">
      <alignment horizontal="center"/>
    </xf>
    <xf numFmtId="0" fontId="46" fillId="28" borderId="31" xfId="114" applyFont="1" applyFill="1" applyBorder="1" applyAlignment="1">
      <alignment horizontal="center"/>
    </xf>
    <xf numFmtId="0" fontId="46" fillId="0" borderId="32" xfId="114" applyFont="1" applyFill="1" applyBorder="1" applyAlignment="1">
      <alignment horizontal="center"/>
    </xf>
    <xf numFmtId="0" fontId="46" fillId="29" borderId="6" xfId="114" applyFont="1" applyFill="1" applyBorder="1" applyAlignment="1">
      <alignment horizontal="center"/>
    </xf>
    <xf numFmtId="0" fontId="51" fillId="28" borderId="31" xfId="114" applyFont="1" applyFill="1" applyBorder="1" applyAlignment="1">
      <alignment horizontal="center"/>
    </xf>
    <xf numFmtId="0" fontId="51" fillId="0" borderId="32" xfId="114" applyFont="1" applyFill="1" applyBorder="1" applyAlignment="1">
      <alignment horizontal="center"/>
    </xf>
    <xf numFmtId="0" fontId="51" fillId="29" borderId="6" xfId="114" applyFont="1" applyFill="1" applyBorder="1" applyAlignment="1">
      <alignment horizontal="center"/>
    </xf>
    <xf numFmtId="0" fontId="51" fillId="3" borderId="29" xfId="114" applyFont="1" applyFill="1" applyBorder="1" applyAlignment="1">
      <alignment horizontal="center"/>
    </xf>
    <xf numFmtId="0" fontId="24" fillId="0" borderId="0" xfId="88" applyFont="1" applyFill="1" applyBorder="1" applyAlignment="1">
      <alignment horizontal="center"/>
    </xf>
    <xf numFmtId="0" fontId="46" fillId="0" borderId="0" xfId="114" applyFont="1" applyFill="1" applyBorder="1" applyAlignment="1">
      <alignment horizontal="center"/>
    </xf>
    <xf numFmtId="0" fontId="51" fillId="0" borderId="0" xfId="114" applyFont="1" applyFill="1" applyBorder="1" applyAlignment="1">
      <alignment horizontal="center"/>
    </xf>
    <xf numFmtId="0" fontId="24" fillId="0" borderId="0" xfId="0" applyFont="1"/>
    <xf numFmtId="0" fontId="53" fillId="0" borderId="19" xfId="0" applyFont="1" applyBorder="1"/>
    <xf numFmtId="0" fontId="53" fillId="0" borderId="33" xfId="0" applyFont="1" applyBorder="1"/>
    <xf numFmtId="0" fontId="53" fillId="0" borderId="34" xfId="0" applyFont="1" applyBorder="1"/>
    <xf numFmtId="0" fontId="45" fillId="0" borderId="0" xfId="0" applyFont="1" applyAlignment="1">
      <alignment horizontal="center"/>
    </xf>
    <xf numFmtId="0" fontId="22" fillId="2" borderId="0" xfId="0" applyFont="1" applyFill="1" applyBorder="1" applyAlignment="1">
      <alignment horizontal="center" vertical="center" wrapText="1"/>
    </xf>
    <xf numFmtId="0" fontId="44" fillId="0" borderId="21" xfId="113" applyFont="1" applyBorder="1" applyAlignment="1">
      <alignment horizontal="center"/>
    </xf>
    <xf numFmtId="0" fontId="44" fillId="0" borderId="21" xfId="111" applyFont="1" applyBorder="1" applyAlignment="1">
      <alignment horizontal="center"/>
    </xf>
    <xf numFmtId="0" fontId="22" fillId="0" borderId="0" xfId="0" applyFont="1" applyAlignment="1">
      <alignment horizontal="center"/>
    </xf>
    <xf numFmtId="0" fontId="22" fillId="2" borderId="0" xfId="0" applyFont="1" applyFill="1" applyAlignment="1">
      <alignment horizontal="center" vertical="center" wrapText="1"/>
    </xf>
    <xf numFmtId="0" fontId="24" fillId="0" borderId="39" xfId="0" applyFont="1" applyBorder="1" applyAlignment="1">
      <alignment horizontal="left"/>
    </xf>
    <xf numFmtId="0" fontId="24" fillId="0" borderId="40" xfId="0" applyFont="1" applyBorder="1" applyAlignment="1">
      <alignment horizontal="left"/>
    </xf>
    <xf numFmtId="0" fontId="24" fillId="0" borderId="41" xfId="0" applyFont="1" applyBorder="1" applyAlignment="1">
      <alignment horizontal="left"/>
    </xf>
    <xf numFmtId="0" fontId="24" fillId="0" borderId="42" xfId="0" applyFont="1" applyBorder="1" applyAlignment="1">
      <alignment horizontal="left"/>
    </xf>
    <xf numFmtId="0" fontId="24" fillId="0" borderId="43" xfId="0" applyFont="1" applyBorder="1" applyAlignment="1">
      <alignment horizontal="left"/>
    </xf>
    <xf numFmtId="0" fontId="24" fillId="0" borderId="44" xfId="0" applyFont="1" applyBorder="1" applyAlignment="1">
      <alignment horizontal="left"/>
    </xf>
    <xf numFmtId="0" fontId="52" fillId="0" borderId="23" xfId="114" applyFont="1" applyFill="1" applyBorder="1" applyAlignment="1">
      <alignment horizontal="left" vertical="center" wrapText="1"/>
    </xf>
    <xf numFmtId="0" fontId="52" fillId="0" borderId="24" xfId="114" applyFont="1" applyFill="1" applyBorder="1" applyAlignment="1">
      <alignment horizontal="left" vertical="center" wrapText="1"/>
    </xf>
    <xf numFmtId="0" fontId="52" fillId="0" borderId="18" xfId="114" applyFont="1" applyFill="1" applyBorder="1" applyAlignment="1">
      <alignment horizontal="left" vertical="center" wrapText="1"/>
    </xf>
    <xf numFmtId="0" fontId="45" fillId="0" borderId="23" xfId="114" applyFont="1" applyFill="1" applyBorder="1" applyAlignment="1">
      <alignment horizontal="left" vertical="center" wrapText="1"/>
    </xf>
    <xf numFmtId="0" fontId="45" fillId="0" borderId="24" xfId="114" applyFont="1" applyFill="1" applyBorder="1" applyAlignment="1">
      <alignment horizontal="left" vertical="center" wrapText="1"/>
    </xf>
    <xf numFmtId="0" fontId="45" fillId="0" borderId="18" xfId="114" applyFont="1" applyFill="1" applyBorder="1" applyAlignment="1">
      <alignment horizontal="left" vertical="center" wrapText="1"/>
    </xf>
    <xf numFmtId="0" fontId="45" fillId="0" borderId="23" xfId="114" applyFont="1" applyFill="1" applyBorder="1" applyAlignment="1">
      <alignment horizontal="center" vertical="center" wrapText="1"/>
    </xf>
    <xf numFmtId="0" fontId="45" fillId="0" borderId="24" xfId="114" applyFont="1" applyFill="1" applyBorder="1" applyAlignment="1">
      <alignment horizontal="center" vertical="center" wrapText="1"/>
    </xf>
    <xf numFmtId="0" fontId="45" fillId="0" borderId="18" xfId="114" applyFont="1" applyFill="1" applyBorder="1" applyAlignment="1">
      <alignment horizontal="center" vertical="center" wrapText="1"/>
    </xf>
    <xf numFmtId="0" fontId="53" fillId="0" borderId="0" xfId="0" applyFont="1" applyAlignment="1">
      <alignment horizontal="center" vertical="top" wrapText="1"/>
    </xf>
    <xf numFmtId="0" fontId="53" fillId="0" borderId="35" xfId="0" applyFont="1" applyBorder="1" applyAlignment="1">
      <alignment horizontal="center" vertical="top" wrapText="1"/>
    </xf>
    <xf numFmtId="0" fontId="53" fillId="2" borderId="36" xfId="0" applyFont="1" applyFill="1" applyBorder="1" applyAlignment="1">
      <alignment horizontal="center"/>
    </xf>
    <xf numFmtId="0" fontId="53" fillId="2" borderId="37" xfId="0" applyFont="1" applyFill="1" applyBorder="1" applyAlignment="1">
      <alignment horizontal="center"/>
    </xf>
    <xf numFmtId="0" fontId="53" fillId="2" borderId="38" xfId="0" applyFont="1" applyFill="1" applyBorder="1" applyAlignment="1">
      <alignment horizontal="center"/>
    </xf>
    <xf numFmtId="0" fontId="24" fillId="0" borderId="39" xfId="0" applyFont="1" applyBorder="1" applyAlignment="1">
      <alignment horizontal="left" vertical="center" wrapText="1"/>
    </xf>
    <xf numFmtId="0" fontId="24" fillId="0" borderId="40" xfId="0" applyFont="1" applyBorder="1" applyAlignment="1">
      <alignment horizontal="left" vertical="center" wrapText="1"/>
    </xf>
    <xf numFmtId="0" fontId="24" fillId="0" borderId="41" xfId="0" applyFont="1" applyBorder="1" applyAlignment="1">
      <alignment horizontal="left" vertical="center" wrapText="1"/>
    </xf>
    <xf numFmtId="0" fontId="22" fillId="0" borderId="0" xfId="0" applyFont="1" applyAlignment="1">
      <alignment horizontal="left"/>
    </xf>
    <xf numFmtId="0" fontId="49" fillId="27" borderId="0" xfId="0" applyFont="1" applyFill="1" applyBorder="1" applyAlignment="1">
      <alignment horizontal="center"/>
    </xf>
    <xf numFmtId="0" fontId="50" fillId="0" borderId="0" xfId="114" applyFont="1" applyBorder="1" applyAlignment="1">
      <alignment horizontal="center"/>
    </xf>
    <xf numFmtId="0" fontId="50" fillId="0" borderId="22" xfId="0" applyFont="1" applyBorder="1" applyAlignment="1">
      <alignment horizontal="center"/>
    </xf>
  </cellXfs>
  <cellStyles count="115">
    <cellStyle name="20% - Accent1 2" xfId="48"/>
    <cellStyle name="20% - Accent1 3" xfId="6"/>
    <cellStyle name="20% - Accent2 2" xfId="49"/>
    <cellStyle name="20% - Accent2 3" xfId="7"/>
    <cellStyle name="20% - Accent3 2" xfId="50"/>
    <cellStyle name="20% - Accent3 3" xfId="8"/>
    <cellStyle name="20% - Accent4 2" xfId="51"/>
    <cellStyle name="20% - Accent4 3" xfId="9"/>
    <cellStyle name="20% - Accent5 2" xfId="52"/>
    <cellStyle name="20% - Accent5 3" xfId="10"/>
    <cellStyle name="20% - Accent6 2" xfId="53"/>
    <cellStyle name="20% - Accent6 3" xfId="11"/>
    <cellStyle name="40% - Accent1 2" xfId="54"/>
    <cellStyle name="40% - Accent1 3" xfId="12"/>
    <cellStyle name="40% - Accent2 2" xfId="55"/>
    <cellStyle name="40% - Accent2 3" xfId="13"/>
    <cellStyle name="40% - Accent3 2" xfId="56"/>
    <cellStyle name="40% - Accent3 3" xfId="14"/>
    <cellStyle name="40% - Accent4 2" xfId="57"/>
    <cellStyle name="40% - Accent4 3" xfId="15"/>
    <cellStyle name="40% - Accent5 2" xfId="58"/>
    <cellStyle name="40% - Accent5 3" xfId="16"/>
    <cellStyle name="40% - Accent6 2" xfId="59"/>
    <cellStyle name="40% - Accent6 3" xfId="17"/>
    <cellStyle name="60% - Accent1 2" xfId="60"/>
    <cellStyle name="60% - Accent1 3" xfId="18"/>
    <cellStyle name="60% - Accent2 2" xfId="61"/>
    <cellStyle name="60% - Accent2 3" xfId="19"/>
    <cellStyle name="60% - Accent3 2" xfId="62"/>
    <cellStyle name="60% - Accent3 3" xfId="20"/>
    <cellStyle name="60% - Accent4 2" xfId="63"/>
    <cellStyle name="60% - Accent4 3" xfId="21"/>
    <cellStyle name="60% - Accent5 2" xfId="64"/>
    <cellStyle name="60% - Accent5 3" xfId="22"/>
    <cellStyle name="60% - Accent6 2" xfId="65"/>
    <cellStyle name="60% - Accent6 3" xfId="23"/>
    <cellStyle name="Accent1 2" xfId="66"/>
    <cellStyle name="Accent1 3" xfId="24"/>
    <cellStyle name="Accent2 2" xfId="67"/>
    <cellStyle name="Accent2 3" xfId="25"/>
    <cellStyle name="Accent3 2" xfId="68"/>
    <cellStyle name="Accent3 3" xfId="26"/>
    <cellStyle name="Accent4 2" xfId="69"/>
    <cellStyle name="Accent4 3" xfId="27"/>
    <cellStyle name="Accent5 2" xfId="70"/>
    <cellStyle name="Accent5 3" xfId="28"/>
    <cellStyle name="Accent6 2" xfId="71"/>
    <cellStyle name="Accent6 3" xfId="29"/>
    <cellStyle name="Bad 2" xfId="72"/>
    <cellStyle name="Bad 3" xfId="30"/>
    <cellStyle name="Calculation 2" xfId="73"/>
    <cellStyle name="Calculation 3" xfId="31"/>
    <cellStyle name="Check Cell 2" xfId="74"/>
    <cellStyle name="Check Cell 3" xfId="32"/>
    <cellStyle name="Comma" xfId="112" builtinId="3"/>
    <cellStyle name="Currency 2" xfId="1"/>
    <cellStyle name="Explanatory Text 2" xfId="75"/>
    <cellStyle name="Explanatory Text 3" xfId="33"/>
    <cellStyle name="Good 2" xfId="76"/>
    <cellStyle name="Good 3" xfId="34"/>
    <cellStyle name="Heading 1 2" xfId="77"/>
    <cellStyle name="Heading 1 3" xfId="35"/>
    <cellStyle name="Heading 2 2" xfId="78"/>
    <cellStyle name="Heading 2 3" xfId="36"/>
    <cellStyle name="Heading 3 2" xfId="79"/>
    <cellStyle name="Heading 3 3" xfId="37"/>
    <cellStyle name="Heading 4 2" xfId="80"/>
    <cellStyle name="Heading 4 3" xfId="38"/>
    <cellStyle name="Input 2" xfId="81"/>
    <cellStyle name="Input 3" xfId="39"/>
    <cellStyle name="Linked Cell 2" xfId="82"/>
    <cellStyle name="Linked Cell 3" xfId="40"/>
    <cellStyle name="Neutral 2" xfId="83"/>
    <cellStyle name="Neutral 3" xfId="41"/>
    <cellStyle name="Normal" xfId="0" builtinId="0"/>
    <cellStyle name="Normal 2" xfId="2"/>
    <cellStyle name="Normal 3" xfId="3"/>
    <cellStyle name="Normal 3 2" xfId="88"/>
    <cellStyle name="Normal 4" xfId="4"/>
    <cellStyle name="Normal 4 10" xfId="97"/>
    <cellStyle name="Normal 4 11" xfId="99"/>
    <cellStyle name="Normal 4 12" xfId="100"/>
    <cellStyle name="Normal 4 13" xfId="105"/>
    <cellStyle name="Normal 4 14" xfId="106"/>
    <cellStyle name="Normal 4 15" xfId="107"/>
    <cellStyle name="Normal 4 16" xfId="108"/>
    <cellStyle name="Normal 4 17" xfId="109"/>
    <cellStyle name="Normal 4 18" xfId="110"/>
    <cellStyle name="Normal 4 19" xfId="111"/>
    <cellStyle name="Normal 4 2" xfId="47"/>
    <cellStyle name="Normal 4 20" xfId="113"/>
    <cellStyle name="Normal 4 21" xfId="114"/>
    <cellStyle name="Normal 4 3" xfId="90"/>
    <cellStyle name="Normal 4 4" xfId="91"/>
    <cellStyle name="Normal 4 5" xfId="92"/>
    <cellStyle name="Normal 4 6" xfId="93"/>
    <cellStyle name="Normal 4 7" xfId="94"/>
    <cellStyle name="Normal 4 8" xfId="95"/>
    <cellStyle name="Normal 4 9" xfId="96"/>
    <cellStyle name="Normal 5" xfId="98"/>
    <cellStyle name="Normal 6" xfId="101"/>
    <cellStyle name="Normal 7" xfId="102"/>
    <cellStyle name="Note 2" xfId="5"/>
    <cellStyle name="Note 3" xfId="89"/>
    <cellStyle name="Note 4" xfId="42"/>
    <cellStyle name="Output 2" xfId="84"/>
    <cellStyle name="Output 3" xfId="43"/>
    <cellStyle name="Percent 2" xfId="103"/>
    <cellStyle name="Percent 3" xfId="104"/>
    <cellStyle name="Title 2" xfId="85"/>
    <cellStyle name="Title 3" xfId="44"/>
    <cellStyle name="Total 2" xfId="86"/>
    <cellStyle name="Total 3" xfId="45"/>
    <cellStyle name="Warning Text 2" xfId="87"/>
    <cellStyle name="Warning Text 3" xfId="4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externalLink" Target="externalLinks/externalLink7.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externalLink" Target="externalLinks/externalLink6.xml"/><Relationship Id="rId2" Type="http://schemas.openxmlformats.org/officeDocument/2006/relationships/worksheet" Target="worksheets/sheet2.xml"/><Relationship Id="rId16" Type="http://schemas.openxmlformats.org/officeDocument/2006/relationships/externalLink" Target="externalLinks/externalLink5.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4.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 Id="rId22"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Evaluation%20Matrix%20RFP783-17006%20Energy%20Consulting_Glisson.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Evaluation%20Matrix%20RFP783-17006%20Energy%20Consulting_Bartlett.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Evaluation%20Matrix%20RFP783-17006%20Energy%20Consulting_Livingston.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Evaluation%20Matrix%20RFP783-17006%20Energy%20Consulting_McGhee.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Evaluation%20Matrix%20RFP783-17006%20Energy%20Consulting_Oliver.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Evaluation%20Matrix%20RFP783-17006%20Energy%20Consulting_Wheeler.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PURCHASING/Tenner's%20Bids/FY17%20Solicitations/RFP783-17006%20Energy%20Consulting/Evaluations/Evaluation%20Matrix%20RFP783-17006%20Energy%20Consulting.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RFP Submittal"/>
      <sheetName val="Evaluation"/>
      <sheetName val="Respondent Summary"/>
      <sheetName val="Cost Evaluation"/>
    </sheetNames>
    <sheetDataSet>
      <sheetData sheetId="0" refreshError="1"/>
      <sheetData sheetId="1">
        <row r="4">
          <cell r="A4" t="str">
            <v>Acclaim Energy, LTD</v>
          </cell>
        </row>
        <row r="5">
          <cell r="A5" t="str">
            <v>Amerex Brokers, LLC</v>
          </cell>
        </row>
        <row r="6">
          <cell r="A6" t="str">
            <v>Bernhard TME, LLC</v>
          </cell>
        </row>
        <row r="7">
          <cell r="A7" t="str">
            <v>Brasovan Energy</v>
          </cell>
        </row>
        <row r="8">
          <cell r="A8" t="str">
            <v>Energy Advisory Service</v>
          </cell>
        </row>
        <row r="9">
          <cell r="A9" t="str">
            <v>EnerNoc</v>
          </cell>
        </row>
        <row r="10">
          <cell r="A10" t="str">
            <v>Fowler Energy Company</v>
          </cell>
        </row>
        <row r="11">
          <cell r="A11" t="str">
            <v>River Oaks Energy</v>
          </cell>
        </row>
        <row r="12">
          <cell r="A12" t="str">
            <v>Schneider Engineering</v>
          </cell>
        </row>
        <row r="13">
          <cell r="A13" t="str">
            <v>Texas Energy Market</v>
          </cell>
        </row>
        <row r="14">
          <cell r="A14" t="str">
            <v>Van Brunt Associates</v>
          </cell>
        </row>
        <row r="15">
          <cell r="A15" t="str">
            <v>Vervantis</v>
          </cell>
        </row>
      </sheetData>
      <sheetData sheetId="2">
        <row r="3">
          <cell r="C3" t="str">
            <v>Mike Glisson</v>
          </cell>
        </row>
        <row r="8">
          <cell r="E8">
            <v>17.36</v>
          </cell>
          <cell r="H8">
            <v>40</v>
          </cell>
          <cell r="K8">
            <v>14.4</v>
          </cell>
        </row>
        <row r="9">
          <cell r="E9">
            <v>32.4</v>
          </cell>
          <cell r="H9">
            <v>35.76</v>
          </cell>
          <cell r="K9">
            <v>14.4</v>
          </cell>
        </row>
        <row r="10">
          <cell r="E10">
            <v>30.64</v>
          </cell>
          <cell r="H10">
            <v>35.36</v>
          </cell>
          <cell r="K10">
            <v>8.8800000000000008</v>
          </cell>
        </row>
        <row r="11">
          <cell r="E11">
            <v>31.76</v>
          </cell>
          <cell r="H11">
            <v>35.76</v>
          </cell>
          <cell r="K11">
            <v>7.2</v>
          </cell>
        </row>
        <row r="12">
          <cell r="E12">
            <v>40</v>
          </cell>
          <cell r="H12">
            <v>31.12</v>
          </cell>
          <cell r="K12">
            <v>4.8</v>
          </cell>
        </row>
        <row r="13">
          <cell r="E13">
            <v>18.64</v>
          </cell>
          <cell r="H13">
            <v>34.96</v>
          </cell>
          <cell r="K13">
            <v>10.4</v>
          </cell>
        </row>
        <row r="14">
          <cell r="E14">
            <v>28.72</v>
          </cell>
          <cell r="H14">
            <v>28.24</v>
          </cell>
          <cell r="K14">
            <v>13.6</v>
          </cell>
        </row>
        <row r="15">
          <cell r="E15">
            <v>9.68</v>
          </cell>
          <cell r="H15">
            <v>19.760000000000002</v>
          </cell>
          <cell r="K15">
            <v>4.8</v>
          </cell>
        </row>
        <row r="16">
          <cell r="E16">
            <v>39.200000000000003</v>
          </cell>
          <cell r="H16">
            <v>10.56</v>
          </cell>
          <cell r="K16">
            <v>7.2</v>
          </cell>
        </row>
        <row r="17">
          <cell r="E17">
            <v>14.24</v>
          </cell>
          <cell r="H17">
            <v>8.8800000000000008</v>
          </cell>
          <cell r="K17">
            <v>6.4</v>
          </cell>
        </row>
        <row r="18">
          <cell r="E18">
            <v>24.88</v>
          </cell>
          <cell r="H18">
            <v>18.559999999999999</v>
          </cell>
          <cell r="K18">
            <v>8.8000000000000007</v>
          </cell>
        </row>
        <row r="19">
          <cell r="E19">
            <v>34</v>
          </cell>
          <cell r="H19">
            <v>16</v>
          </cell>
          <cell r="K19">
            <v>2.4</v>
          </cell>
        </row>
      </sheetData>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RFP Submittal"/>
      <sheetName val="Evaluation"/>
      <sheetName val="Respondent Summary"/>
    </sheetNames>
    <sheetDataSet>
      <sheetData sheetId="0"/>
      <sheetData sheetId="1">
        <row r="4">
          <cell r="A4" t="str">
            <v>Acclaim Energy, LTD</v>
          </cell>
        </row>
        <row r="5">
          <cell r="A5" t="str">
            <v>Amerex Brokers, LLC</v>
          </cell>
        </row>
        <row r="6">
          <cell r="A6" t="str">
            <v>Bernhard TME, LLC</v>
          </cell>
        </row>
        <row r="7">
          <cell r="A7" t="str">
            <v>Brasovan Energy</v>
          </cell>
        </row>
        <row r="8">
          <cell r="A8" t="str">
            <v>Energy Advisory Service</v>
          </cell>
        </row>
        <row r="9">
          <cell r="A9" t="str">
            <v>EnerNoc</v>
          </cell>
        </row>
        <row r="10">
          <cell r="A10" t="str">
            <v>Fowler Energy Company</v>
          </cell>
        </row>
        <row r="11">
          <cell r="A11" t="str">
            <v>River Oaks Energy</v>
          </cell>
        </row>
        <row r="12">
          <cell r="A12" t="str">
            <v>Schneider Engineering</v>
          </cell>
        </row>
        <row r="13">
          <cell r="A13" t="str">
            <v>Texas Energy Market</v>
          </cell>
        </row>
        <row r="14">
          <cell r="A14" t="str">
            <v>Van Brunt Associates</v>
          </cell>
        </row>
        <row r="15">
          <cell r="A15" t="str">
            <v>Vervantis</v>
          </cell>
        </row>
      </sheetData>
      <sheetData sheetId="2">
        <row r="3">
          <cell r="C3" t="str">
            <v>Raymond Bartlett</v>
          </cell>
        </row>
        <row r="8">
          <cell r="E8">
            <v>0</v>
          </cell>
          <cell r="H8">
            <v>32</v>
          </cell>
          <cell r="K8">
            <v>14</v>
          </cell>
        </row>
        <row r="9">
          <cell r="E9">
            <v>0</v>
          </cell>
          <cell r="H9">
            <v>22</v>
          </cell>
          <cell r="K9">
            <v>15</v>
          </cell>
        </row>
        <row r="10">
          <cell r="E10">
            <v>0</v>
          </cell>
          <cell r="H10">
            <v>22</v>
          </cell>
          <cell r="K10">
            <v>11</v>
          </cell>
        </row>
        <row r="11">
          <cell r="E11">
            <v>0</v>
          </cell>
          <cell r="H11">
            <v>20</v>
          </cell>
          <cell r="K11">
            <v>10</v>
          </cell>
        </row>
        <row r="12">
          <cell r="E12">
            <v>0</v>
          </cell>
          <cell r="H12">
            <v>16</v>
          </cell>
          <cell r="K12">
            <v>10</v>
          </cell>
        </row>
        <row r="13">
          <cell r="E13">
            <v>0</v>
          </cell>
          <cell r="H13">
            <v>28</v>
          </cell>
          <cell r="K13">
            <v>13</v>
          </cell>
        </row>
        <row r="14">
          <cell r="E14">
            <v>0</v>
          </cell>
          <cell r="H14">
            <v>26</v>
          </cell>
          <cell r="K14">
            <v>13</v>
          </cell>
        </row>
        <row r="15">
          <cell r="E15">
            <v>0</v>
          </cell>
          <cell r="H15">
            <v>16</v>
          </cell>
          <cell r="K15">
            <v>8</v>
          </cell>
        </row>
        <row r="16">
          <cell r="E16">
            <v>0</v>
          </cell>
          <cell r="H16">
            <v>18</v>
          </cell>
          <cell r="K16">
            <v>9</v>
          </cell>
        </row>
        <row r="17">
          <cell r="E17">
            <v>0</v>
          </cell>
          <cell r="H17">
            <v>10</v>
          </cell>
          <cell r="K17">
            <v>6</v>
          </cell>
        </row>
        <row r="18">
          <cell r="E18">
            <v>0</v>
          </cell>
          <cell r="H18">
            <v>20</v>
          </cell>
          <cell r="K18">
            <v>12</v>
          </cell>
        </row>
        <row r="19">
          <cell r="E19">
            <v>0</v>
          </cell>
          <cell r="H19">
            <v>18</v>
          </cell>
          <cell r="K19">
            <v>8</v>
          </cell>
        </row>
      </sheetData>
      <sheetData sheetId="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RFP Submittal"/>
      <sheetName val="Evaluation"/>
      <sheetName val="Respondent Summary"/>
    </sheetNames>
    <sheetDataSet>
      <sheetData sheetId="0" refreshError="1"/>
      <sheetData sheetId="1">
        <row r="4">
          <cell r="A4" t="str">
            <v>Acclaim Energy, LTD</v>
          </cell>
        </row>
        <row r="5">
          <cell r="A5" t="str">
            <v>Amerex Brokers, LLC</v>
          </cell>
        </row>
        <row r="6">
          <cell r="A6" t="str">
            <v>Bernhard TME, LLC</v>
          </cell>
        </row>
        <row r="7">
          <cell r="A7" t="str">
            <v>Brasovan Energy</v>
          </cell>
        </row>
        <row r="8">
          <cell r="A8" t="str">
            <v>Energy Advisory Service</v>
          </cell>
        </row>
        <row r="9">
          <cell r="A9" t="str">
            <v>EnerNoc</v>
          </cell>
        </row>
        <row r="10">
          <cell r="A10" t="str">
            <v>Fowler Energy Company</v>
          </cell>
        </row>
        <row r="11">
          <cell r="A11" t="str">
            <v>River Oaks Energy</v>
          </cell>
        </row>
        <row r="12">
          <cell r="A12" t="str">
            <v>Schneider Engineering</v>
          </cell>
        </row>
        <row r="13">
          <cell r="A13" t="str">
            <v>Texas Energy Market</v>
          </cell>
        </row>
        <row r="14">
          <cell r="A14" t="str">
            <v>Van Brunt Associates</v>
          </cell>
        </row>
        <row r="15">
          <cell r="A15" t="str">
            <v>Vervantis</v>
          </cell>
        </row>
      </sheetData>
      <sheetData sheetId="2">
        <row r="3">
          <cell r="C3" t="str">
            <v>Karin Livingston</v>
          </cell>
        </row>
        <row r="8">
          <cell r="E8">
            <v>0</v>
          </cell>
          <cell r="H8">
            <v>28</v>
          </cell>
          <cell r="K8">
            <v>14</v>
          </cell>
        </row>
        <row r="9">
          <cell r="E9">
            <v>0</v>
          </cell>
          <cell r="H9">
            <v>32</v>
          </cell>
          <cell r="K9">
            <v>14.8</v>
          </cell>
        </row>
        <row r="10">
          <cell r="E10">
            <v>0</v>
          </cell>
          <cell r="H10">
            <v>33.6</v>
          </cell>
          <cell r="K10">
            <v>17.2</v>
          </cell>
        </row>
        <row r="11">
          <cell r="E11">
            <v>0</v>
          </cell>
          <cell r="H11">
            <v>36</v>
          </cell>
          <cell r="K11">
            <v>16.8</v>
          </cell>
        </row>
        <row r="12">
          <cell r="E12">
            <v>0</v>
          </cell>
          <cell r="H12">
            <v>29.6</v>
          </cell>
          <cell r="K12">
            <v>10</v>
          </cell>
        </row>
        <row r="13">
          <cell r="E13">
            <v>0</v>
          </cell>
          <cell r="H13">
            <v>28</v>
          </cell>
          <cell r="K13">
            <v>14.8</v>
          </cell>
        </row>
        <row r="14">
          <cell r="E14">
            <v>0</v>
          </cell>
          <cell r="H14">
            <v>20</v>
          </cell>
          <cell r="K14">
            <v>6</v>
          </cell>
        </row>
        <row r="15">
          <cell r="E15">
            <v>0</v>
          </cell>
          <cell r="H15">
            <v>32.799999999999997</v>
          </cell>
          <cell r="K15">
            <v>8</v>
          </cell>
        </row>
        <row r="16">
          <cell r="E16">
            <v>0</v>
          </cell>
          <cell r="H16">
            <v>12</v>
          </cell>
          <cell r="K16">
            <v>13.6</v>
          </cell>
        </row>
        <row r="17">
          <cell r="E17">
            <v>0</v>
          </cell>
          <cell r="H17">
            <v>8</v>
          </cell>
          <cell r="K17">
            <v>4</v>
          </cell>
        </row>
        <row r="18">
          <cell r="E18">
            <v>0</v>
          </cell>
          <cell r="H18">
            <v>16</v>
          </cell>
          <cell r="K18">
            <v>8</v>
          </cell>
        </row>
        <row r="19">
          <cell r="E19">
            <v>0</v>
          </cell>
          <cell r="H19">
            <v>21.6</v>
          </cell>
          <cell r="K19">
            <v>0</v>
          </cell>
        </row>
      </sheetData>
      <sheetData sheetId="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RFP Submittal"/>
      <sheetName val="Evaluation"/>
      <sheetName val="Respondent Summary"/>
    </sheetNames>
    <sheetDataSet>
      <sheetData sheetId="0" refreshError="1"/>
      <sheetData sheetId="1">
        <row r="4">
          <cell r="A4" t="str">
            <v>Acclaim Energy, LTD</v>
          </cell>
        </row>
        <row r="5">
          <cell r="A5" t="str">
            <v>Amerex Brokers, LLC</v>
          </cell>
        </row>
        <row r="6">
          <cell r="A6" t="str">
            <v>Bernhard TME, LLC</v>
          </cell>
        </row>
        <row r="7">
          <cell r="A7" t="str">
            <v>Brasovan Energy</v>
          </cell>
        </row>
        <row r="8">
          <cell r="A8" t="str">
            <v>Energy Advisory Service</v>
          </cell>
        </row>
        <row r="9">
          <cell r="A9" t="str">
            <v>EnerNoc</v>
          </cell>
        </row>
        <row r="10">
          <cell r="A10" t="str">
            <v>Fowler Energy Company</v>
          </cell>
        </row>
        <row r="11">
          <cell r="A11" t="str">
            <v>River Oaks Energy</v>
          </cell>
        </row>
        <row r="12">
          <cell r="A12" t="str">
            <v>Schneider Engineering</v>
          </cell>
        </row>
        <row r="13">
          <cell r="A13" t="str">
            <v>Texas Energy Market</v>
          </cell>
        </row>
        <row r="14">
          <cell r="A14" t="str">
            <v>Van Brunt Associates</v>
          </cell>
        </row>
        <row r="15">
          <cell r="A15" t="str">
            <v>Vervantis</v>
          </cell>
        </row>
      </sheetData>
      <sheetData sheetId="2">
        <row r="3">
          <cell r="C3" t="str">
            <v>Fred McGhee</v>
          </cell>
        </row>
        <row r="8">
          <cell r="E8">
            <v>0</v>
          </cell>
          <cell r="H8">
            <v>28</v>
          </cell>
          <cell r="K8">
            <v>12</v>
          </cell>
        </row>
        <row r="9">
          <cell r="E9">
            <v>0</v>
          </cell>
          <cell r="H9">
            <v>28</v>
          </cell>
          <cell r="K9">
            <v>18</v>
          </cell>
        </row>
        <row r="10">
          <cell r="E10">
            <v>0</v>
          </cell>
          <cell r="H10">
            <v>19.2</v>
          </cell>
          <cell r="K10">
            <v>13.6</v>
          </cell>
        </row>
        <row r="11">
          <cell r="E11">
            <v>0</v>
          </cell>
          <cell r="H11">
            <v>24</v>
          </cell>
          <cell r="K11">
            <v>10</v>
          </cell>
        </row>
        <row r="12">
          <cell r="E12">
            <v>0</v>
          </cell>
          <cell r="H12">
            <v>16</v>
          </cell>
          <cell r="K12">
            <v>8</v>
          </cell>
        </row>
        <row r="13">
          <cell r="E13">
            <v>0</v>
          </cell>
          <cell r="H13">
            <v>16</v>
          </cell>
          <cell r="K13">
            <v>18</v>
          </cell>
        </row>
        <row r="14">
          <cell r="E14">
            <v>0</v>
          </cell>
          <cell r="H14">
            <v>24</v>
          </cell>
          <cell r="K14">
            <v>14</v>
          </cell>
        </row>
        <row r="15">
          <cell r="E15">
            <v>0</v>
          </cell>
          <cell r="H15">
            <v>16</v>
          </cell>
          <cell r="K15">
            <v>6</v>
          </cell>
        </row>
        <row r="16">
          <cell r="E16">
            <v>0</v>
          </cell>
          <cell r="H16">
            <v>16</v>
          </cell>
          <cell r="K16">
            <v>12</v>
          </cell>
        </row>
        <row r="17">
          <cell r="E17">
            <v>0</v>
          </cell>
          <cell r="H17">
            <v>8</v>
          </cell>
          <cell r="K17">
            <v>4</v>
          </cell>
        </row>
        <row r="18">
          <cell r="E18">
            <v>0</v>
          </cell>
          <cell r="H18">
            <v>19.2</v>
          </cell>
          <cell r="K18">
            <v>12</v>
          </cell>
        </row>
        <row r="19">
          <cell r="E19">
            <v>0</v>
          </cell>
          <cell r="H19">
            <v>16</v>
          </cell>
          <cell r="K19">
            <v>8</v>
          </cell>
        </row>
      </sheetData>
      <sheetData sheetId="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RFP Submittal"/>
      <sheetName val="Evaluation"/>
      <sheetName val="Respondent Summary"/>
    </sheetNames>
    <sheetDataSet>
      <sheetData sheetId="0" refreshError="1"/>
      <sheetData sheetId="1">
        <row r="4">
          <cell r="A4" t="str">
            <v>Acclaim Energy, LTD</v>
          </cell>
        </row>
        <row r="5">
          <cell r="A5" t="str">
            <v>Amerex Brokers, LLC</v>
          </cell>
        </row>
        <row r="6">
          <cell r="A6" t="str">
            <v>Bernhard TME, LLC</v>
          </cell>
        </row>
        <row r="7">
          <cell r="A7" t="str">
            <v>Brasovan Energy</v>
          </cell>
        </row>
        <row r="8">
          <cell r="A8" t="str">
            <v>Energy Advisory Service</v>
          </cell>
        </row>
        <row r="9">
          <cell r="A9" t="str">
            <v>EnerNoc</v>
          </cell>
        </row>
        <row r="10">
          <cell r="A10" t="str">
            <v>Fowler Energy Company</v>
          </cell>
        </row>
        <row r="11">
          <cell r="A11" t="str">
            <v>River Oaks Energy</v>
          </cell>
        </row>
        <row r="12">
          <cell r="A12" t="str">
            <v>Schneider Engineering</v>
          </cell>
        </row>
        <row r="13">
          <cell r="A13" t="str">
            <v>Texas Energy Market</v>
          </cell>
        </row>
        <row r="14">
          <cell r="A14" t="str">
            <v>Van Brunt Associates</v>
          </cell>
        </row>
        <row r="15">
          <cell r="A15" t="str">
            <v>Vervantis</v>
          </cell>
        </row>
      </sheetData>
      <sheetData sheetId="2">
        <row r="3">
          <cell r="C3" t="str">
            <v>David Olver, AVC/AVP Facilities</v>
          </cell>
        </row>
        <row r="8">
          <cell r="E8">
            <v>0</v>
          </cell>
          <cell r="H8">
            <v>24</v>
          </cell>
          <cell r="K8">
            <v>14</v>
          </cell>
        </row>
        <row r="9">
          <cell r="E9">
            <v>0</v>
          </cell>
          <cell r="H9">
            <v>36</v>
          </cell>
          <cell r="K9">
            <v>18</v>
          </cell>
        </row>
        <row r="10">
          <cell r="E10">
            <v>0</v>
          </cell>
          <cell r="H10">
            <v>24</v>
          </cell>
          <cell r="K10">
            <v>10</v>
          </cell>
        </row>
        <row r="11">
          <cell r="E11">
            <v>0</v>
          </cell>
          <cell r="H11">
            <v>40</v>
          </cell>
          <cell r="K11">
            <v>16</v>
          </cell>
        </row>
        <row r="12">
          <cell r="E12">
            <v>0</v>
          </cell>
          <cell r="H12">
            <v>20</v>
          </cell>
          <cell r="K12">
            <v>6</v>
          </cell>
        </row>
        <row r="13">
          <cell r="E13">
            <v>0</v>
          </cell>
          <cell r="H13">
            <v>20</v>
          </cell>
          <cell r="K13">
            <v>12</v>
          </cell>
        </row>
        <row r="14">
          <cell r="E14">
            <v>0</v>
          </cell>
          <cell r="H14">
            <v>20</v>
          </cell>
          <cell r="K14">
            <v>4</v>
          </cell>
        </row>
        <row r="15">
          <cell r="E15">
            <v>0</v>
          </cell>
          <cell r="H15">
            <v>28</v>
          </cell>
          <cell r="K15">
            <v>10</v>
          </cell>
        </row>
        <row r="16">
          <cell r="E16">
            <v>0</v>
          </cell>
          <cell r="H16">
            <v>8</v>
          </cell>
          <cell r="K16">
            <v>12</v>
          </cell>
        </row>
        <row r="17">
          <cell r="E17">
            <v>0</v>
          </cell>
          <cell r="H17">
            <v>8</v>
          </cell>
          <cell r="K17">
            <v>4</v>
          </cell>
        </row>
        <row r="18">
          <cell r="E18">
            <v>0</v>
          </cell>
          <cell r="H18">
            <v>20</v>
          </cell>
          <cell r="K18">
            <v>4</v>
          </cell>
        </row>
        <row r="19">
          <cell r="E19">
            <v>0</v>
          </cell>
          <cell r="H19">
            <v>24</v>
          </cell>
          <cell r="K19">
            <v>0</v>
          </cell>
        </row>
      </sheetData>
      <sheetData sheetId="3"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RFP Submittal"/>
      <sheetName val="Evaluation"/>
      <sheetName val="Respondent Summary"/>
    </sheetNames>
    <sheetDataSet>
      <sheetData sheetId="0" refreshError="1"/>
      <sheetData sheetId="1">
        <row r="4">
          <cell r="A4" t="str">
            <v>Acclaim Energy, LTD</v>
          </cell>
        </row>
        <row r="5">
          <cell r="A5" t="str">
            <v>Amerex Brokers, LLC</v>
          </cell>
        </row>
        <row r="6">
          <cell r="A6" t="str">
            <v>Bernhard TME, LLC</v>
          </cell>
        </row>
        <row r="7">
          <cell r="A7" t="str">
            <v>Brasovan Energy</v>
          </cell>
        </row>
        <row r="8">
          <cell r="A8" t="str">
            <v>Energy Advisory Service</v>
          </cell>
        </row>
        <row r="9">
          <cell r="A9" t="str">
            <v>EnerNoc</v>
          </cell>
        </row>
        <row r="10">
          <cell r="A10" t="str">
            <v>Fowler Energy Company</v>
          </cell>
        </row>
        <row r="11">
          <cell r="A11" t="str">
            <v>River Oaks Energy</v>
          </cell>
        </row>
        <row r="12">
          <cell r="A12" t="str">
            <v>Schneider Engineering</v>
          </cell>
        </row>
        <row r="13">
          <cell r="A13" t="str">
            <v>Texas Energy Market</v>
          </cell>
        </row>
        <row r="14">
          <cell r="A14" t="str">
            <v>Van Brunt Associates</v>
          </cell>
        </row>
        <row r="15">
          <cell r="A15" t="str">
            <v>Vervantis</v>
          </cell>
        </row>
      </sheetData>
      <sheetData sheetId="2">
        <row r="3">
          <cell r="C3" t="str">
            <v>Mike Wheeler</v>
          </cell>
        </row>
        <row r="8">
          <cell r="E8">
            <v>0</v>
          </cell>
          <cell r="H8">
            <v>32</v>
          </cell>
          <cell r="K8">
            <v>16</v>
          </cell>
        </row>
        <row r="9">
          <cell r="E9">
            <v>0</v>
          </cell>
          <cell r="H9">
            <v>32</v>
          </cell>
          <cell r="K9">
            <v>16</v>
          </cell>
        </row>
        <row r="10">
          <cell r="E10">
            <v>0</v>
          </cell>
          <cell r="H10">
            <v>32.799999999999997</v>
          </cell>
          <cell r="K10">
            <v>16.399999999999999</v>
          </cell>
        </row>
        <row r="11">
          <cell r="E11">
            <v>0</v>
          </cell>
          <cell r="H11">
            <v>34.4</v>
          </cell>
          <cell r="K11">
            <v>17.2</v>
          </cell>
        </row>
        <row r="12">
          <cell r="E12">
            <v>0</v>
          </cell>
          <cell r="H12">
            <v>31.2</v>
          </cell>
          <cell r="K12">
            <v>15.6</v>
          </cell>
        </row>
        <row r="13">
          <cell r="E13">
            <v>0</v>
          </cell>
          <cell r="H13">
            <v>35.200000000000003</v>
          </cell>
          <cell r="K13">
            <v>17.600000000000001</v>
          </cell>
        </row>
        <row r="14">
          <cell r="E14">
            <v>0</v>
          </cell>
          <cell r="H14">
            <v>32</v>
          </cell>
          <cell r="K14">
            <v>16</v>
          </cell>
        </row>
        <row r="15">
          <cell r="E15">
            <v>0</v>
          </cell>
          <cell r="H15">
            <v>26.4</v>
          </cell>
          <cell r="K15">
            <v>13.2</v>
          </cell>
        </row>
        <row r="16">
          <cell r="E16">
            <v>0</v>
          </cell>
          <cell r="H16">
            <v>27.2</v>
          </cell>
          <cell r="K16">
            <v>13.6</v>
          </cell>
        </row>
        <row r="17">
          <cell r="E17">
            <v>0</v>
          </cell>
          <cell r="H17">
            <v>24</v>
          </cell>
          <cell r="K17">
            <v>12</v>
          </cell>
        </row>
        <row r="18">
          <cell r="E18">
            <v>0</v>
          </cell>
          <cell r="H18">
            <v>24</v>
          </cell>
          <cell r="K18">
            <v>12</v>
          </cell>
        </row>
        <row r="19">
          <cell r="E19">
            <v>0</v>
          </cell>
          <cell r="H19">
            <v>32.799999999999997</v>
          </cell>
          <cell r="K19">
            <v>16.399999999999999</v>
          </cell>
        </row>
      </sheetData>
      <sheetData sheetId="3"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RFP Submittal"/>
      <sheetName val="Evaluation"/>
      <sheetName val="Respondent Summary"/>
    </sheetNames>
    <sheetDataSet>
      <sheetData sheetId="0">
        <row r="6">
          <cell r="A6" t="str">
            <v>RFP783-17006 Energy Consulting</v>
          </cell>
        </row>
      </sheetData>
      <sheetData sheetId="1">
        <row r="4">
          <cell r="A4" t="str">
            <v>Acclaim Energy, LTD</v>
          </cell>
        </row>
        <row r="5">
          <cell r="A5" t="str">
            <v>Amerex Brokers, LLC</v>
          </cell>
        </row>
        <row r="6">
          <cell r="A6" t="str">
            <v>Bernhard TME, LLC</v>
          </cell>
        </row>
        <row r="7">
          <cell r="A7" t="str">
            <v>Brasovan Energy</v>
          </cell>
        </row>
        <row r="8">
          <cell r="A8" t="str">
            <v>Energy Advisory Service</v>
          </cell>
        </row>
        <row r="9">
          <cell r="A9" t="str">
            <v>EnerNoc</v>
          </cell>
        </row>
        <row r="10">
          <cell r="A10" t="str">
            <v>Fowler Energy Company</v>
          </cell>
        </row>
        <row r="11">
          <cell r="A11" t="str">
            <v>River Oaks Energy</v>
          </cell>
        </row>
        <row r="12">
          <cell r="A12" t="str">
            <v>Schneider Engineering</v>
          </cell>
        </row>
        <row r="13">
          <cell r="A13" t="str">
            <v>Texas Energy Market</v>
          </cell>
        </row>
        <row r="14">
          <cell r="A14" t="str">
            <v>Van Brunt Associates</v>
          </cell>
        </row>
        <row r="15">
          <cell r="A15" t="str">
            <v>Vervantis</v>
          </cell>
        </row>
      </sheetData>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H15"/>
  <sheetViews>
    <sheetView workbookViewId="0">
      <selection activeCell="K9" sqref="K9"/>
    </sheetView>
  </sheetViews>
  <sheetFormatPr defaultRowHeight="12.75" x14ac:dyDescent="0.2"/>
  <cols>
    <col min="5" max="6" width="9" bestFit="1" customWidth="1"/>
    <col min="7" max="7" width="9" customWidth="1"/>
    <col min="8" max="8" width="6.5703125" bestFit="1" customWidth="1"/>
  </cols>
  <sheetData>
    <row r="1" spans="1:8" ht="15.75" x14ac:dyDescent="0.25">
      <c r="A1" s="17" t="s">
        <v>7</v>
      </c>
      <c r="B1" s="17"/>
      <c r="C1" s="17"/>
      <c r="D1" s="17"/>
      <c r="E1" s="60" t="s">
        <v>37</v>
      </c>
      <c r="F1" s="60"/>
      <c r="G1" s="60"/>
      <c r="H1" s="60"/>
    </row>
    <row r="2" spans="1:8" ht="15.75" x14ac:dyDescent="0.25">
      <c r="A2" s="17"/>
      <c r="B2" s="18"/>
    </row>
    <row r="3" spans="1:8" x14ac:dyDescent="0.2">
      <c r="A3" s="61" t="s">
        <v>8</v>
      </c>
      <c r="B3" s="61"/>
      <c r="C3" s="61"/>
      <c r="D3" s="61"/>
      <c r="E3" s="23" t="s">
        <v>9</v>
      </c>
      <c r="F3" s="23" t="s">
        <v>10</v>
      </c>
      <c r="G3" s="23" t="s">
        <v>11</v>
      </c>
      <c r="H3" s="24" t="s">
        <v>12</v>
      </c>
    </row>
    <row r="4" spans="1:8" x14ac:dyDescent="0.2">
      <c r="A4" s="59" t="str">
        <f>'[1]RFP Submittal'!A4</f>
        <v>Acclaim Energy, LTD</v>
      </c>
      <c r="B4" s="59"/>
      <c r="C4" s="59"/>
      <c r="D4" s="59"/>
      <c r="E4" s="19">
        <f>[1]Evaluation!E8</f>
        <v>17.36</v>
      </c>
      <c r="F4" s="19">
        <f>[1]Evaluation!H8</f>
        <v>40</v>
      </c>
      <c r="G4" s="19">
        <f>[1]Evaluation!K8</f>
        <v>14.4</v>
      </c>
      <c r="H4" s="20">
        <f>SUM(E4:G4)</f>
        <v>71.760000000000005</v>
      </c>
    </row>
    <row r="5" spans="1:8" x14ac:dyDescent="0.2">
      <c r="A5" s="59" t="str">
        <f>'[1]RFP Submittal'!A5</f>
        <v>Amerex Brokers, LLC</v>
      </c>
      <c r="B5" s="59"/>
      <c r="C5" s="59"/>
      <c r="D5" s="59"/>
      <c r="E5" s="19">
        <f>[1]Evaluation!E9</f>
        <v>32.4</v>
      </c>
      <c r="F5" s="19">
        <f>[1]Evaluation!H9</f>
        <v>35.76</v>
      </c>
      <c r="G5" s="19">
        <f>[1]Evaluation!K9</f>
        <v>14.4</v>
      </c>
      <c r="H5" s="20">
        <f>SUM(E5:G5)</f>
        <v>82.56</v>
      </c>
    </row>
    <row r="6" spans="1:8" x14ac:dyDescent="0.2">
      <c r="A6" s="59" t="str">
        <f>'[1]RFP Submittal'!A6</f>
        <v>Bernhard TME, LLC</v>
      </c>
      <c r="B6" s="59"/>
      <c r="C6" s="59"/>
      <c r="D6" s="59"/>
      <c r="E6" s="19">
        <f>[1]Evaluation!E10</f>
        <v>30.64</v>
      </c>
      <c r="F6" s="19">
        <f>[1]Evaluation!H10</f>
        <v>35.36</v>
      </c>
      <c r="G6" s="19">
        <f>[1]Evaluation!K10</f>
        <v>8.8800000000000008</v>
      </c>
      <c r="H6" s="20">
        <f t="shared" ref="H6:H15" si="0">SUM(E6:G6)</f>
        <v>74.88</v>
      </c>
    </row>
    <row r="7" spans="1:8" x14ac:dyDescent="0.2">
      <c r="A7" s="59" t="str">
        <f>'[1]RFP Submittal'!A7</f>
        <v>Brasovan Energy</v>
      </c>
      <c r="B7" s="59"/>
      <c r="C7" s="59"/>
      <c r="D7" s="59"/>
      <c r="E7" s="19">
        <f>[1]Evaluation!E11</f>
        <v>31.76</v>
      </c>
      <c r="F7" s="19">
        <f>[1]Evaluation!H11</f>
        <v>35.76</v>
      </c>
      <c r="G7" s="19">
        <f>[1]Evaluation!K11</f>
        <v>7.2</v>
      </c>
      <c r="H7" s="20">
        <f t="shared" si="0"/>
        <v>74.72</v>
      </c>
    </row>
    <row r="8" spans="1:8" x14ac:dyDescent="0.2">
      <c r="A8" s="59" t="str">
        <f>'[1]RFP Submittal'!A8</f>
        <v>Energy Advisory Service</v>
      </c>
      <c r="B8" s="59"/>
      <c r="C8" s="59"/>
      <c r="D8" s="59"/>
      <c r="E8" s="19">
        <f>[1]Evaluation!E12</f>
        <v>40</v>
      </c>
      <c r="F8" s="19">
        <f>[1]Evaluation!H12</f>
        <v>31.12</v>
      </c>
      <c r="G8" s="19">
        <f>[1]Evaluation!K12</f>
        <v>4.8</v>
      </c>
      <c r="H8" s="20">
        <f t="shared" si="0"/>
        <v>75.92</v>
      </c>
    </row>
    <row r="9" spans="1:8" x14ac:dyDescent="0.2">
      <c r="A9" s="59" t="str">
        <f>'[1]RFP Submittal'!A9</f>
        <v>EnerNoc</v>
      </c>
      <c r="B9" s="59"/>
      <c r="C9" s="59"/>
      <c r="D9" s="59"/>
      <c r="E9" s="19">
        <f>[1]Evaluation!E13</f>
        <v>18.64</v>
      </c>
      <c r="F9" s="19">
        <f>[1]Evaluation!H13</f>
        <v>34.96</v>
      </c>
      <c r="G9" s="19">
        <f>[1]Evaluation!K13</f>
        <v>10.4</v>
      </c>
      <c r="H9" s="20">
        <f t="shared" si="0"/>
        <v>64</v>
      </c>
    </row>
    <row r="10" spans="1:8" x14ac:dyDescent="0.2">
      <c r="A10" s="59" t="str">
        <f>'[1]RFP Submittal'!A10</f>
        <v>Fowler Energy Company</v>
      </c>
      <c r="B10" s="59"/>
      <c r="C10" s="59"/>
      <c r="D10" s="59"/>
      <c r="E10" s="19">
        <f>[1]Evaluation!E14</f>
        <v>28.72</v>
      </c>
      <c r="F10" s="19">
        <f>[1]Evaluation!H14</f>
        <v>28.24</v>
      </c>
      <c r="G10" s="19">
        <f>[1]Evaluation!K14</f>
        <v>13.6</v>
      </c>
      <c r="H10" s="20">
        <f t="shared" si="0"/>
        <v>70.559999999999988</v>
      </c>
    </row>
    <row r="11" spans="1:8" x14ac:dyDescent="0.2">
      <c r="A11" s="59" t="str">
        <f>'[1]RFP Submittal'!A11</f>
        <v>River Oaks Energy</v>
      </c>
      <c r="B11" s="59"/>
      <c r="C11" s="59"/>
      <c r="D11" s="59"/>
      <c r="E11" s="19">
        <f>[1]Evaluation!E15</f>
        <v>9.68</v>
      </c>
      <c r="F11" s="19">
        <f>[1]Evaluation!H15</f>
        <v>19.760000000000002</v>
      </c>
      <c r="G11" s="19">
        <f>[1]Evaluation!K15</f>
        <v>4.8</v>
      </c>
      <c r="H11" s="20">
        <f t="shared" si="0"/>
        <v>34.24</v>
      </c>
    </row>
    <row r="12" spans="1:8" x14ac:dyDescent="0.2">
      <c r="A12" s="59" t="str">
        <f>'[1]RFP Submittal'!A12</f>
        <v>Schneider Engineering</v>
      </c>
      <c r="B12" s="59"/>
      <c r="C12" s="59"/>
      <c r="D12" s="59"/>
      <c r="E12" s="19">
        <f>[1]Evaluation!E16</f>
        <v>39.200000000000003</v>
      </c>
      <c r="F12" s="19">
        <f>[1]Evaluation!H16</f>
        <v>10.56</v>
      </c>
      <c r="G12" s="19">
        <f>[1]Evaluation!K16</f>
        <v>7.2</v>
      </c>
      <c r="H12" s="20">
        <f t="shared" si="0"/>
        <v>56.960000000000008</v>
      </c>
    </row>
    <row r="13" spans="1:8" x14ac:dyDescent="0.2">
      <c r="A13" s="59" t="str">
        <f>'[1]RFP Submittal'!A13</f>
        <v>Texas Energy Market</v>
      </c>
      <c r="B13" s="59"/>
      <c r="C13" s="59"/>
      <c r="D13" s="59"/>
      <c r="E13" s="19">
        <f>[1]Evaluation!E17</f>
        <v>14.24</v>
      </c>
      <c r="F13" s="19">
        <f>[1]Evaluation!H17</f>
        <v>8.8800000000000008</v>
      </c>
      <c r="G13" s="19">
        <f>[1]Evaluation!K17</f>
        <v>6.4</v>
      </c>
      <c r="H13" s="20">
        <f t="shared" si="0"/>
        <v>29.520000000000003</v>
      </c>
    </row>
    <row r="14" spans="1:8" x14ac:dyDescent="0.2">
      <c r="A14" s="59" t="str">
        <f>'[1]RFP Submittal'!A14</f>
        <v>Van Brunt Associates</v>
      </c>
      <c r="B14" s="59"/>
      <c r="C14" s="59"/>
      <c r="D14" s="59"/>
      <c r="E14" s="19">
        <f>[1]Evaluation!E18</f>
        <v>24.88</v>
      </c>
      <c r="F14" s="19">
        <f>[1]Evaluation!H18</f>
        <v>18.559999999999999</v>
      </c>
      <c r="G14" s="19">
        <f>[1]Evaluation!K18</f>
        <v>8.8000000000000007</v>
      </c>
      <c r="H14" s="20">
        <f t="shared" si="0"/>
        <v>52.239999999999995</v>
      </c>
    </row>
    <row r="15" spans="1:8" x14ac:dyDescent="0.2">
      <c r="A15" s="59" t="str">
        <f>'[1]RFP Submittal'!A15</f>
        <v>Vervantis</v>
      </c>
      <c r="B15" s="59"/>
      <c r="C15" s="59"/>
      <c r="D15" s="59"/>
      <c r="E15" s="19">
        <f>[1]Evaluation!E19</f>
        <v>34</v>
      </c>
      <c r="F15" s="19">
        <f>[1]Evaluation!H19</f>
        <v>16</v>
      </c>
      <c r="G15" s="19">
        <f>[1]Evaluation!K19</f>
        <v>2.4</v>
      </c>
      <c r="H15" s="20">
        <f t="shared" si="0"/>
        <v>52.4</v>
      </c>
    </row>
  </sheetData>
  <mergeCells count="14">
    <mergeCell ref="A7:D7"/>
    <mergeCell ref="E1:H1"/>
    <mergeCell ref="A3:D3"/>
    <mergeCell ref="A4:D4"/>
    <mergeCell ref="A5:D5"/>
    <mergeCell ref="A6:D6"/>
    <mergeCell ref="A14:D14"/>
    <mergeCell ref="A15:D15"/>
    <mergeCell ref="A8:D8"/>
    <mergeCell ref="A9:D9"/>
    <mergeCell ref="A10:D10"/>
    <mergeCell ref="A11:D11"/>
    <mergeCell ref="A12:D12"/>
    <mergeCell ref="A13:D13"/>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3"/>
  <sheetViews>
    <sheetView workbookViewId="0">
      <pane xSplit="1" ySplit="1" topLeftCell="B2" activePane="bottomRight" state="frozenSplit"/>
      <selection pane="topRight" activeCell="B1" sqref="B1"/>
      <selection pane="bottomLeft" activeCell="A2" sqref="A2"/>
      <selection pane="bottomRight" activeCell="D2" sqref="D2"/>
    </sheetView>
  </sheetViews>
  <sheetFormatPr defaultRowHeight="12.75" x14ac:dyDescent="0.2"/>
  <cols>
    <col min="1" max="1" width="24.7109375" customWidth="1"/>
    <col min="2" max="2" width="16.140625" style="26" bestFit="1" customWidth="1"/>
    <col min="3" max="3" width="15.42578125" style="26" bestFit="1" customWidth="1"/>
    <col min="4" max="4" width="10.42578125" style="26" bestFit="1" customWidth="1"/>
    <col min="5" max="5" width="102.140625" bestFit="1" customWidth="1"/>
  </cols>
  <sheetData>
    <row r="1" spans="1:5" ht="38.25" x14ac:dyDescent="0.2">
      <c r="A1" t="s">
        <v>14</v>
      </c>
      <c r="B1" s="25" t="s">
        <v>15</v>
      </c>
      <c r="C1" s="25" t="s">
        <v>16</v>
      </c>
      <c r="D1" s="25" t="s">
        <v>17</v>
      </c>
      <c r="E1" t="s">
        <v>18</v>
      </c>
    </row>
    <row r="2" spans="1:5" x14ac:dyDescent="0.2">
      <c r="A2" t="s">
        <v>19</v>
      </c>
      <c r="B2" s="26">
        <f>580000+10000</f>
        <v>590000</v>
      </c>
      <c r="C2" s="26">
        <f t="shared" ref="C2:C13" si="0">B2-$B$6</f>
        <v>436000</v>
      </c>
      <c r="D2" s="27">
        <f t="shared" ref="D2:D13" si="1">ABS(5-(C2/$B$6))</f>
        <v>2.168831168831169</v>
      </c>
      <c r="E2" t="s">
        <v>20</v>
      </c>
    </row>
    <row r="3" spans="1:5" x14ac:dyDescent="0.2">
      <c r="A3" t="s">
        <v>21</v>
      </c>
      <c r="B3" s="26">
        <f>60000*5</f>
        <v>300000</v>
      </c>
      <c r="C3" s="26">
        <f t="shared" si="0"/>
        <v>146000</v>
      </c>
      <c r="D3" s="27">
        <f t="shared" si="1"/>
        <v>4.0519480519480524</v>
      </c>
    </row>
    <row r="4" spans="1:5" x14ac:dyDescent="0.2">
      <c r="A4" t="s">
        <v>22</v>
      </c>
      <c r="B4" s="26">
        <f>5565*60</f>
        <v>333900</v>
      </c>
      <c r="C4" s="26">
        <f t="shared" si="0"/>
        <v>179900</v>
      </c>
      <c r="D4" s="27">
        <f t="shared" si="1"/>
        <v>3.831818181818182</v>
      </c>
    </row>
    <row r="5" spans="1:5" x14ac:dyDescent="0.2">
      <c r="A5" t="s">
        <v>23</v>
      </c>
      <c r="B5" s="26">
        <f>292500+20000</f>
        <v>312500</v>
      </c>
      <c r="C5" s="26">
        <f t="shared" si="0"/>
        <v>158500</v>
      </c>
      <c r="D5" s="27">
        <f t="shared" si="1"/>
        <v>3.970779220779221</v>
      </c>
    </row>
    <row r="6" spans="1:5" x14ac:dyDescent="0.2">
      <c r="A6" t="s">
        <v>24</v>
      </c>
      <c r="B6" s="26">
        <f>2000*77</f>
        <v>154000</v>
      </c>
      <c r="C6" s="26">
        <f t="shared" si="0"/>
        <v>0</v>
      </c>
      <c r="D6" s="27">
        <f t="shared" si="1"/>
        <v>5</v>
      </c>
      <c r="E6" t="s">
        <v>25</v>
      </c>
    </row>
    <row r="7" spans="1:5" x14ac:dyDescent="0.2">
      <c r="A7" t="s">
        <v>26</v>
      </c>
      <c r="B7" s="26">
        <f>(9000*60)+(5000*5)</f>
        <v>565000</v>
      </c>
      <c r="C7" s="26">
        <f t="shared" si="0"/>
        <v>411000</v>
      </c>
      <c r="D7" s="27">
        <f t="shared" si="1"/>
        <v>2.331168831168831</v>
      </c>
      <c r="E7" t="s">
        <v>27</v>
      </c>
    </row>
    <row r="8" spans="1:5" x14ac:dyDescent="0.2">
      <c r="A8" t="s">
        <v>28</v>
      </c>
      <c r="B8" s="26">
        <f>(12000*8)+(5000*52)+(3000*5)</f>
        <v>371000</v>
      </c>
      <c r="C8" s="26">
        <f t="shared" si="0"/>
        <v>217000</v>
      </c>
      <c r="D8" s="27">
        <f t="shared" si="1"/>
        <v>3.5909090909090908</v>
      </c>
    </row>
    <row r="9" spans="1:5" x14ac:dyDescent="0.2">
      <c r="A9" t="s">
        <v>29</v>
      </c>
      <c r="B9" s="26">
        <f>(9750*60)+(2552*60)</f>
        <v>738120</v>
      </c>
      <c r="C9" s="26">
        <f t="shared" si="0"/>
        <v>584120</v>
      </c>
      <c r="D9" s="27">
        <f t="shared" si="1"/>
        <v>1.2070129870129871</v>
      </c>
    </row>
    <row r="10" spans="1:5" x14ac:dyDescent="0.2">
      <c r="A10" t="s">
        <v>30</v>
      </c>
      <c r="B10" s="26">
        <v>170000</v>
      </c>
      <c r="C10" s="26">
        <f t="shared" si="0"/>
        <v>16000</v>
      </c>
      <c r="D10" s="27">
        <f t="shared" si="1"/>
        <v>4.8961038961038961</v>
      </c>
      <c r="E10" s="28" t="s">
        <v>31</v>
      </c>
    </row>
    <row r="11" spans="1:5" x14ac:dyDescent="0.2">
      <c r="A11" t="s">
        <v>32</v>
      </c>
      <c r="B11" s="26">
        <f>600000+50000</f>
        <v>650000</v>
      </c>
      <c r="C11" s="26">
        <f t="shared" si="0"/>
        <v>496000</v>
      </c>
      <c r="D11" s="27">
        <f t="shared" si="1"/>
        <v>1.779220779220779</v>
      </c>
      <c r="E11" t="s">
        <v>33</v>
      </c>
    </row>
    <row r="12" spans="1:5" x14ac:dyDescent="0.2">
      <c r="A12" t="s">
        <v>34</v>
      </c>
      <c r="B12" s="26">
        <f>89000*5</f>
        <v>445000</v>
      </c>
      <c r="C12" s="26">
        <f t="shared" si="0"/>
        <v>291000</v>
      </c>
      <c r="D12" s="27">
        <f t="shared" si="1"/>
        <v>3.1103896103896105</v>
      </c>
    </row>
    <row r="13" spans="1:5" x14ac:dyDescent="0.2">
      <c r="A13" t="s">
        <v>35</v>
      </c>
      <c r="B13" s="26">
        <f>54000*5</f>
        <v>270000</v>
      </c>
      <c r="C13" s="26">
        <f t="shared" si="0"/>
        <v>116000</v>
      </c>
      <c r="D13" s="27">
        <f t="shared" si="1"/>
        <v>4.2467532467532472</v>
      </c>
      <c r="E13" t="s">
        <v>36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M34"/>
  <sheetViews>
    <sheetView tabSelected="1" workbookViewId="0">
      <selection activeCell="N14" sqref="N14"/>
    </sheetView>
  </sheetViews>
  <sheetFormatPr defaultRowHeight="12.75" x14ac:dyDescent="0.2"/>
  <cols>
    <col min="1" max="1" width="2" customWidth="1"/>
    <col min="2" max="2" width="37.140625" bestFit="1" customWidth="1"/>
    <col min="3" max="3" width="12" customWidth="1"/>
    <col min="4" max="5" width="10.7109375" customWidth="1"/>
    <col min="6" max="6" width="12.140625" customWidth="1"/>
    <col min="7" max="8" width="10.42578125" customWidth="1"/>
    <col min="9" max="9" width="11" customWidth="1"/>
    <col min="10" max="10" width="11.5703125" customWidth="1"/>
    <col min="11" max="11" width="9" customWidth="1"/>
  </cols>
  <sheetData>
    <row r="1" spans="2:13" ht="15.75" x14ac:dyDescent="0.25">
      <c r="B1" s="88" t="s">
        <v>45</v>
      </c>
      <c r="C1" s="88"/>
      <c r="D1" s="88"/>
      <c r="E1" s="31" t="str">
        <f>[7]Cover!A6</f>
        <v>RFP783-17006 Energy Consulting</v>
      </c>
      <c r="F1" s="31"/>
      <c r="G1" s="31"/>
      <c r="H1" s="31"/>
      <c r="I1" s="31"/>
      <c r="J1" s="31"/>
      <c r="K1" s="31"/>
      <c r="L1" s="31"/>
      <c r="M1" s="31"/>
    </row>
    <row r="2" spans="2:13" ht="15.75" customHeight="1" x14ac:dyDescent="0.25">
      <c r="C2" s="31"/>
      <c r="D2" s="31"/>
      <c r="E2" s="31"/>
      <c r="F2" s="31"/>
      <c r="G2" s="31"/>
    </row>
    <row r="3" spans="2:13" ht="15" customHeight="1" x14ac:dyDescent="0.2">
      <c r="B3" s="32" t="s">
        <v>46</v>
      </c>
      <c r="C3" s="89" t="s">
        <v>47</v>
      </c>
      <c r="D3" s="89"/>
      <c r="E3" s="89"/>
      <c r="F3" s="89"/>
    </row>
    <row r="4" spans="2:13" ht="28.5" customHeight="1" thickBot="1" x14ac:dyDescent="0.3">
      <c r="C4" s="90" t="s">
        <v>9</v>
      </c>
      <c r="D4" s="90"/>
      <c r="E4" s="90"/>
      <c r="F4" s="90" t="s">
        <v>10</v>
      </c>
      <c r="G4" s="90"/>
      <c r="H4" s="90"/>
      <c r="I4" s="90" t="s">
        <v>11</v>
      </c>
      <c r="J4" s="90"/>
      <c r="K4" s="90"/>
    </row>
    <row r="5" spans="2:13" ht="16.5" hidden="1" thickBot="1" x14ac:dyDescent="0.3">
      <c r="B5" s="1"/>
      <c r="C5" s="91" t="s">
        <v>48</v>
      </c>
      <c r="D5" s="91"/>
      <c r="E5" s="91"/>
      <c r="F5" s="91" t="s">
        <v>10</v>
      </c>
      <c r="G5" s="91"/>
      <c r="H5" s="91"/>
      <c r="I5" s="33"/>
      <c r="J5" s="33"/>
      <c r="K5" s="33"/>
    </row>
    <row r="6" spans="2:13" ht="187.5" customHeight="1" x14ac:dyDescent="0.2">
      <c r="B6" s="34"/>
      <c r="C6" s="71" t="s">
        <v>65</v>
      </c>
      <c r="D6" s="72"/>
      <c r="E6" s="73"/>
      <c r="F6" s="74" t="s">
        <v>49</v>
      </c>
      <c r="G6" s="75"/>
      <c r="H6" s="76"/>
      <c r="I6" s="77" t="s">
        <v>50</v>
      </c>
      <c r="J6" s="78"/>
      <c r="K6" s="79"/>
      <c r="L6" s="35" t="s">
        <v>51</v>
      </c>
    </row>
    <row r="7" spans="2:13" x14ac:dyDescent="0.2">
      <c r="B7" s="36" t="s">
        <v>8</v>
      </c>
      <c r="C7" s="37" t="s">
        <v>52</v>
      </c>
      <c r="D7" s="38" t="s">
        <v>53</v>
      </c>
      <c r="E7" s="39" t="s">
        <v>54</v>
      </c>
      <c r="F7" s="40" t="s">
        <v>52</v>
      </c>
      <c r="G7" s="41" t="s">
        <v>53</v>
      </c>
      <c r="H7" s="42" t="s">
        <v>54</v>
      </c>
      <c r="I7" s="37" t="s">
        <v>52</v>
      </c>
      <c r="J7" s="38" t="s">
        <v>53</v>
      </c>
      <c r="K7" s="39" t="s">
        <v>54</v>
      </c>
      <c r="L7" s="43"/>
    </row>
    <row r="8" spans="2:13" x14ac:dyDescent="0.2">
      <c r="B8" s="44" t="str">
        <f>'[7]RFP Submittal'!A4</f>
        <v>Acclaim Energy, LTD</v>
      </c>
      <c r="C8" s="45"/>
      <c r="D8" s="46">
        <v>8</v>
      </c>
      <c r="E8" s="47">
        <f>C8*D8</f>
        <v>0</v>
      </c>
      <c r="F8" s="48"/>
      <c r="G8" s="49">
        <v>8</v>
      </c>
      <c r="H8" s="50">
        <f>F8*G8</f>
        <v>0</v>
      </c>
      <c r="I8" s="45"/>
      <c r="J8" s="46">
        <v>4</v>
      </c>
      <c r="K8" s="47">
        <f>I8*J8</f>
        <v>0</v>
      </c>
      <c r="L8" s="51">
        <f>H8+E8+K8</f>
        <v>0</v>
      </c>
    </row>
    <row r="9" spans="2:13" x14ac:dyDescent="0.2">
      <c r="B9" s="44" t="str">
        <f>'[7]RFP Submittal'!A5</f>
        <v>Amerex Brokers, LLC</v>
      </c>
      <c r="C9" s="45"/>
      <c r="D9" s="46">
        <v>8</v>
      </c>
      <c r="E9" s="47">
        <f t="shared" ref="E9:E19" si="0">C9*D9</f>
        <v>0</v>
      </c>
      <c r="F9" s="48"/>
      <c r="G9" s="49">
        <v>8</v>
      </c>
      <c r="H9" s="50">
        <f>F9*G9</f>
        <v>0</v>
      </c>
      <c r="I9" s="45"/>
      <c r="J9" s="46">
        <v>4</v>
      </c>
      <c r="K9" s="47">
        <f t="shared" ref="K9:K19" si="1">I9*J9</f>
        <v>0</v>
      </c>
      <c r="L9" s="51">
        <f t="shared" ref="L9:L19" si="2">H9+E9+K9</f>
        <v>0</v>
      </c>
    </row>
    <row r="10" spans="2:13" x14ac:dyDescent="0.2">
      <c r="B10" s="44" t="str">
        <f>'[7]RFP Submittal'!A6</f>
        <v>Bernhard TME, LLC</v>
      </c>
      <c r="C10" s="45"/>
      <c r="D10" s="46">
        <v>8</v>
      </c>
      <c r="E10" s="47">
        <f t="shared" si="0"/>
        <v>0</v>
      </c>
      <c r="F10" s="48"/>
      <c r="G10" s="49">
        <v>8</v>
      </c>
      <c r="H10" s="50">
        <f t="shared" ref="H10:H19" si="3">F10*G10</f>
        <v>0</v>
      </c>
      <c r="I10" s="45"/>
      <c r="J10" s="46">
        <v>4</v>
      </c>
      <c r="K10" s="47">
        <f t="shared" si="1"/>
        <v>0</v>
      </c>
      <c r="L10" s="51">
        <f t="shared" si="2"/>
        <v>0</v>
      </c>
    </row>
    <row r="11" spans="2:13" x14ac:dyDescent="0.2">
      <c r="B11" s="44" t="str">
        <f>'[7]RFP Submittal'!A7</f>
        <v>Brasovan Energy</v>
      </c>
      <c r="C11" s="45"/>
      <c r="D11" s="46">
        <v>8</v>
      </c>
      <c r="E11" s="47">
        <f t="shared" si="0"/>
        <v>0</v>
      </c>
      <c r="F11" s="48"/>
      <c r="G11" s="49">
        <v>8</v>
      </c>
      <c r="H11" s="50">
        <f t="shared" si="3"/>
        <v>0</v>
      </c>
      <c r="I11" s="45"/>
      <c r="J11" s="46">
        <v>4</v>
      </c>
      <c r="K11" s="47">
        <f t="shared" si="1"/>
        <v>0</v>
      </c>
      <c r="L11" s="51">
        <f t="shared" si="2"/>
        <v>0</v>
      </c>
    </row>
    <row r="12" spans="2:13" x14ac:dyDescent="0.2">
      <c r="B12" s="44" t="str">
        <f>'[7]RFP Submittal'!A8</f>
        <v>Energy Advisory Service</v>
      </c>
      <c r="C12" s="45"/>
      <c r="D12" s="46">
        <v>8</v>
      </c>
      <c r="E12" s="47">
        <f t="shared" si="0"/>
        <v>0</v>
      </c>
      <c r="F12" s="48"/>
      <c r="G12" s="49">
        <v>8</v>
      </c>
      <c r="H12" s="50">
        <f t="shared" si="3"/>
        <v>0</v>
      </c>
      <c r="I12" s="45"/>
      <c r="J12" s="46">
        <v>4</v>
      </c>
      <c r="K12" s="47">
        <f t="shared" si="1"/>
        <v>0</v>
      </c>
      <c r="L12" s="51">
        <f t="shared" si="2"/>
        <v>0</v>
      </c>
    </row>
    <row r="13" spans="2:13" x14ac:dyDescent="0.2">
      <c r="B13" s="44" t="str">
        <f>'[7]RFP Submittal'!A9</f>
        <v>EnerNoc</v>
      </c>
      <c r="C13" s="45"/>
      <c r="D13" s="46">
        <v>8</v>
      </c>
      <c r="E13" s="47">
        <f t="shared" si="0"/>
        <v>0</v>
      </c>
      <c r="F13" s="48"/>
      <c r="G13" s="49">
        <v>8</v>
      </c>
      <c r="H13" s="50">
        <f t="shared" si="3"/>
        <v>0</v>
      </c>
      <c r="I13" s="45"/>
      <c r="J13" s="46">
        <v>4</v>
      </c>
      <c r="K13" s="47">
        <f t="shared" si="1"/>
        <v>0</v>
      </c>
      <c r="L13" s="51">
        <f t="shared" si="2"/>
        <v>0</v>
      </c>
    </row>
    <row r="14" spans="2:13" x14ac:dyDescent="0.2">
      <c r="B14" s="44" t="str">
        <f>'[7]RFP Submittal'!A10</f>
        <v>Fowler Energy Company</v>
      </c>
      <c r="C14" s="45"/>
      <c r="D14" s="46">
        <v>8</v>
      </c>
      <c r="E14" s="47">
        <f t="shared" si="0"/>
        <v>0</v>
      </c>
      <c r="F14" s="48"/>
      <c r="G14" s="49">
        <v>8</v>
      </c>
      <c r="H14" s="50">
        <f t="shared" si="3"/>
        <v>0</v>
      </c>
      <c r="I14" s="45"/>
      <c r="J14" s="46">
        <v>4</v>
      </c>
      <c r="K14" s="47">
        <f t="shared" si="1"/>
        <v>0</v>
      </c>
      <c r="L14" s="51">
        <f t="shared" si="2"/>
        <v>0</v>
      </c>
    </row>
    <row r="15" spans="2:13" x14ac:dyDescent="0.2">
      <c r="B15" s="44" t="str">
        <f>'[7]RFP Submittal'!A11</f>
        <v>River Oaks Energy</v>
      </c>
      <c r="C15" s="45"/>
      <c r="D15" s="46">
        <v>8</v>
      </c>
      <c r="E15" s="47">
        <f t="shared" si="0"/>
        <v>0</v>
      </c>
      <c r="F15" s="48"/>
      <c r="G15" s="49">
        <v>8</v>
      </c>
      <c r="H15" s="50">
        <f t="shared" si="3"/>
        <v>0</v>
      </c>
      <c r="I15" s="45"/>
      <c r="J15" s="46">
        <v>4</v>
      </c>
      <c r="K15" s="47">
        <f t="shared" si="1"/>
        <v>0</v>
      </c>
      <c r="L15" s="51">
        <f t="shared" si="2"/>
        <v>0</v>
      </c>
    </row>
    <row r="16" spans="2:13" x14ac:dyDescent="0.2">
      <c r="B16" s="44" t="str">
        <f>'[7]RFP Submittal'!A12</f>
        <v>Schneider Engineering</v>
      </c>
      <c r="C16" s="45"/>
      <c r="D16" s="46">
        <v>8</v>
      </c>
      <c r="E16" s="47">
        <f t="shared" si="0"/>
        <v>0</v>
      </c>
      <c r="F16" s="48"/>
      <c r="G16" s="49">
        <v>8</v>
      </c>
      <c r="H16" s="50">
        <f t="shared" si="3"/>
        <v>0</v>
      </c>
      <c r="I16" s="45"/>
      <c r="J16" s="46">
        <v>4</v>
      </c>
      <c r="K16" s="47">
        <f t="shared" si="1"/>
        <v>0</v>
      </c>
      <c r="L16" s="51">
        <f t="shared" si="2"/>
        <v>0</v>
      </c>
    </row>
    <row r="17" spans="2:12" x14ac:dyDescent="0.2">
      <c r="B17" s="44" t="str">
        <f>'[7]RFP Submittal'!A13</f>
        <v>Texas Energy Market</v>
      </c>
      <c r="C17" s="45"/>
      <c r="D17" s="46">
        <v>8</v>
      </c>
      <c r="E17" s="47">
        <f t="shared" si="0"/>
        <v>0</v>
      </c>
      <c r="F17" s="48"/>
      <c r="G17" s="49">
        <v>8</v>
      </c>
      <c r="H17" s="50">
        <f t="shared" si="3"/>
        <v>0</v>
      </c>
      <c r="I17" s="45"/>
      <c r="J17" s="46">
        <v>4</v>
      </c>
      <c r="K17" s="47">
        <f t="shared" si="1"/>
        <v>0</v>
      </c>
      <c r="L17" s="51">
        <f t="shared" si="2"/>
        <v>0</v>
      </c>
    </row>
    <row r="18" spans="2:12" x14ac:dyDescent="0.2">
      <c r="B18" s="44" t="str">
        <f>'[7]RFP Submittal'!A14</f>
        <v>Van Brunt Associates</v>
      </c>
      <c r="C18" s="45"/>
      <c r="D18" s="46">
        <v>8</v>
      </c>
      <c r="E18" s="47">
        <f t="shared" si="0"/>
        <v>0</v>
      </c>
      <c r="F18" s="48"/>
      <c r="G18" s="49">
        <v>8</v>
      </c>
      <c r="H18" s="50">
        <f t="shared" si="3"/>
        <v>0</v>
      </c>
      <c r="I18" s="45"/>
      <c r="J18" s="46">
        <v>4</v>
      </c>
      <c r="K18" s="47">
        <f t="shared" si="1"/>
        <v>0</v>
      </c>
      <c r="L18" s="51">
        <f t="shared" si="2"/>
        <v>0</v>
      </c>
    </row>
    <row r="19" spans="2:12" x14ac:dyDescent="0.2">
      <c r="B19" s="44" t="str">
        <f>'[7]RFP Submittal'!A15</f>
        <v>Vervantis</v>
      </c>
      <c r="C19" s="45"/>
      <c r="D19" s="46">
        <v>8</v>
      </c>
      <c r="E19" s="47">
        <f t="shared" si="0"/>
        <v>0</v>
      </c>
      <c r="F19" s="48"/>
      <c r="G19" s="49">
        <v>8</v>
      </c>
      <c r="H19" s="50">
        <f t="shared" si="3"/>
        <v>0</v>
      </c>
      <c r="I19" s="45"/>
      <c r="J19" s="46">
        <v>4</v>
      </c>
      <c r="K19" s="47">
        <f t="shared" si="1"/>
        <v>0</v>
      </c>
      <c r="L19" s="51">
        <f t="shared" si="2"/>
        <v>0</v>
      </c>
    </row>
    <row r="20" spans="2:12" x14ac:dyDescent="0.2">
      <c r="B20" s="52"/>
      <c r="C20" s="53"/>
      <c r="D20" s="53"/>
      <c r="E20" s="53"/>
      <c r="F20" s="54"/>
      <c r="G20" s="54"/>
      <c r="H20" s="54"/>
      <c r="I20" s="54"/>
      <c r="J20" s="54"/>
      <c r="K20" s="54"/>
      <c r="L20" s="54"/>
    </row>
    <row r="21" spans="2:12" x14ac:dyDescent="0.2">
      <c r="B21" s="52"/>
      <c r="C21" s="53"/>
      <c r="D21" s="53"/>
      <c r="E21" s="53"/>
      <c r="F21" s="54"/>
      <c r="G21" s="54"/>
      <c r="H21" s="54"/>
      <c r="I21" s="54"/>
      <c r="J21" s="54"/>
      <c r="K21" s="54"/>
      <c r="L21" s="54"/>
    </row>
    <row r="22" spans="2:12" x14ac:dyDescent="0.2">
      <c r="B22" s="55"/>
      <c r="C22" s="55"/>
      <c r="D22" s="55"/>
      <c r="E22" s="55"/>
      <c r="F22" s="55"/>
      <c r="G22" s="55"/>
      <c r="H22" s="55"/>
      <c r="I22" s="55"/>
      <c r="J22" s="55"/>
      <c r="K22" s="55"/>
      <c r="L22" s="55"/>
    </row>
    <row r="23" spans="2:12" ht="13.5" thickBot="1" x14ac:dyDescent="0.25">
      <c r="B23" s="80" t="s">
        <v>55</v>
      </c>
      <c r="C23" s="80"/>
      <c r="D23" s="80"/>
      <c r="E23" s="80"/>
      <c r="F23" s="55"/>
      <c r="G23" s="55" t="s">
        <v>56</v>
      </c>
      <c r="H23" s="55"/>
      <c r="I23" s="55"/>
      <c r="J23" s="55"/>
      <c r="K23" s="55"/>
      <c r="L23" s="55"/>
    </row>
    <row r="24" spans="2:12" ht="13.5" thickBot="1" x14ac:dyDescent="0.25">
      <c r="B24" s="80"/>
      <c r="C24" s="80"/>
      <c r="D24" s="80"/>
      <c r="E24" s="80"/>
      <c r="F24" s="55"/>
      <c r="G24" s="56" t="s">
        <v>57</v>
      </c>
      <c r="H24" s="57"/>
      <c r="I24" s="57"/>
      <c r="J24" s="58"/>
      <c r="K24" s="55"/>
      <c r="L24" s="55"/>
    </row>
    <row r="25" spans="2:12" x14ac:dyDescent="0.2">
      <c r="B25" s="80"/>
      <c r="C25" s="80"/>
      <c r="D25" s="80"/>
      <c r="E25" s="80"/>
      <c r="F25" s="55"/>
      <c r="G25" s="55"/>
      <c r="H25" s="55"/>
      <c r="I25" s="55"/>
      <c r="J25" s="55"/>
      <c r="K25" s="55"/>
      <c r="L25" s="55"/>
    </row>
    <row r="26" spans="2:12" ht="13.5" thickBot="1" x14ac:dyDescent="0.25">
      <c r="B26" s="81"/>
      <c r="C26" s="81"/>
      <c r="D26" s="81"/>
      <c r="E26" s="81"/>
      <c r="F26" s="55"/>
      <c r="G26" s="55"/>
      <c r="H26" s="55"/>
      <c r="I26" s="55"/>
      <c r="J26" s="55"/>
      <c r="K26" s="55"/>
      <c r="L26" s="55"/>
    </row>
    <row r="27" spans="2:12" ht="13.5" thickTop="1" x14ac:dyDescent="0.2">
      <c r="B27" s="82" t="s">
        <v>58</v>
      </c>
      <c r="C27" s="83"/>
      <c r="D27" s="83"/>
      <c r="E27" s="84"/>
      <c r="F27" s="55"/>
      <c r="G27" s="55"/>
      <c r="H27" s="55"/>
      <c r="I27" s="55"/>
      <c r="J27" s="55"/>
      <c r="K27" s="55"/>
      <c r="L27" s="55"/>
    </row>
    <row r="28" spans="2:12" x14ac:dyDescent="0.2">
      <c r="B28" s="85" t="s">
        <v>59</v>
      </c>
      <c r="C28" s="86"/>
      <c r="D28" s="86"/>
      <c r="E28" s="87"/>
      <c r="F28" s="55"/>
      <c r="G28" s="55"/>
      <c r="H28" s="55"/>
      <c r="I28" s="55"/>
      <c r="J28" s="55"/>
      <c r="K28" s="55"/>
      <c r="L28" s="55"/>
    </row>
    <row r="29" spans="2:12" x14ac:dyDescent="0.2">
      <c r="B29" s="65" t="s">
        <v>60</v>
      </c>
      <c r="C29" s="66"/>
      <c r="D29" s="66"/>
      <c r="E29" s="67"/>
      <c r="F29" s="55"/>
      <c r="G29" s="55"/>
      <c r="H29" s="55"/>
      <c r="I29" s="55"/>
      <c r="J29" s="55"/>
      <c r="K29" s="55"/>
      <c r="L29" s="55"/>
    </row>
    <row r="30" spans="2:12" x14ac:dyDescent="0.2">
      <c r="B30" s="65" t="s">
        <v>61</v>
      </c>
      <c r="C30" s="66"/>
      <c r="D30" s="66"/>
      <c r="E30" s="67"/>
      <c r="F30" s="55"/>
      <c r="G30" s="55"/>
      <c r="H30" s="55"/>
      <c r="I30" s="55"/>
      <c r="J30" s="55"/>
      <c r="K30" s="55"/>
      <c r="L30" s="55"/>
    </row>
    <row r="31" spans="2:12" x14ac:dyDescent="0.2">
      <c r="B31" s="65" t="s">
        <v>62</v>
      </c>
      <c r="C31" s="66"/>
      <c r="D31" s="66"/>
      <c r="E31" s="67"/>
      <c r="F31" s="55"/>
      <c r="G31" s="55"/>
      <c r="H31" s="55"/>
      <c r="I31" s="55"/>
      <c r="J31" s="55"/>
      <c r="K31" s="55"/>
      <c r="L31" s="55"/>
    </row>
    <row r="32" spans="2:12" x14ac:dyDescent="0.2">
      <c r="B32" s="65" t="s">
        <v>63</v>
      </c>
      <c r="C32" s="66"/>
      <c r="D32" s="66"/>
      <c r="E32" s="67"/>
      <c r="F32" s="55"/>
      <c r="G32" s="55"/>
      <c r="H32" s="55"/>
      <c r="I32" s="55"/>
      <c r="J32" s="55"/>
      <c r="K32" s="55"/>
      <c r="L32" s="55"/>
    </row>
    <row r="33" spans="2:12" ht="13.5" thickBot="1" x14ac:dyDescent="0.25">
      <c r="B33" s="68" t="s">
        <v>64</v>
      </c>
      <c r="C33" s="69"/>
      <c r="D33" s="69"/>
      <c r="E33" s="70"/>
      <c r="F33" s="55"/>
      <c r="G33" s="55"/>
      <c r="H33" s="55"/>
      <c r="I33" s="55"/>
      <c r="J33" s="55"/>
      <c r="K33" s="55"/>
      <c r="L33" s="55"/>
    </row>
    <row r="34" spans="2:12" ht="13.5" thickTop="1" x14ac:dyDescent="0.2"/>
  </sheetData>
  <mergeCells count="18">
    <mergeCell ref="I4:K4"/>
    <mergeCell ref="C5:E5"/>
    <mergeCell ref="F5:H5"/>
    <mergeCell ref="B28:E28"/>
    <mergeCell ref="B1:D1"/>
    <mergeCell ref="C3:F3"/>
    <mergeCell ref="C4:E4"/>
    <mergeCell ref="F4:H4"/>
    <mergeCell ref="C6:E6"/>
    <mergeCell ref="F6:H6"/>
    <mergeCell ref="I6:K6"/>
    <mergeCell ref="B23:E26"/>
    <mergeCell ref="B27:E27"/>
    <mergeCell ref="B29:E29"/>
    <mergeCell ref="B30:E30"/>
    <mergeCell ref="B31:E31"/>
    <mergeCell ref="B32:E32"/>
    <mergeCell ref="B33:E33"/>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5"/>
  <sheetViews>
    <sheetView workbookViewId="0">
      <selection activeCell="E1" sqref="E1:H1"/>
    </sheetView>
  </sheetViews>
  <sheetFormatPr defaultColWidth="8.85546875" defaultRowHeight="12.75" x14ac:dyDescent="0.2"/>
  <cols>
    <col min="5" max="6" width="9" bestFit="1" customWidth="1"/>
    <col min="7" max="7" width="9" customWidth="1"/>
    <col min="8" max="8" width="6.42578125" bestFit="1" customWidth="1"/>
  </cols>
  <sheetData>
    <row r="1" spans="1:8" ht="15.75" x14ac:dyDescent="0.25">
      <c r="A1" s="17" t="s">
        <v>7</v>
      </c>
      <c r="B1" s="17"/>
      <c r="C1" s="17"/>
      <c r="D1" s="17"/>
      <c r="E1" s="60" t="s">
        <v>38</v>
      </c>
      <c r="F1" s="60"/>
      <c r="G1" s="60"/>
      <c r="H1" s="60"/>
    </row>
    <row r="2" spans="1:8" ht="15.75" x14ac:dyDescent="0.25">
      <c r="A2" s="17"/>
      <c r="B2" s="18"/>
    </row>
    <row r="3" spans="1:8" x14ac:dyDescent="0.2">
      <c r="A3" s="62" t="s">
        <v>8</v>
      </c>
      <c r="B3" s="62"/>
      <c r="C3" s="62"/>
      <c r="D3" s="62"/>
      <c r="E3" s="21" t="s">
        <v>9</v>
      </c>
      <c r="F3" s="21" t="s">
        <v>10</v>
      </c>
      <c r="G3" s="21" t="s">
        <v>11</v>
      </c>
      <c r="H3" s="22" t="s">
        <v>12</v>
      </c>
    </row>
    <row r="4" spans="1:8" x14ac:dyDescent="0.2">
      <c r="A4" s="59" t="str">
        <f>'[2]RFP Submittal'!A4</f>
        <v>Acclaim Energy, LTD</v>
      </c>
      <c r="B4" s="59"/>
      <c r="C4" s="59"/>
      <c r="D4" s="59"/>
      <c r="E4" s="19">
        <f>[2]Evaluation!E8</f>
        <v>0</v>
      </c>
      <c r="F4" s="19">
        <f>[2]Evaluation!H8</f>
        <v>32</v>
      </c>
      <c r="G4" s="19">
        <f>[2]Evaluation!K8</f>
        <v>14</v>
      </c>
      <c r="H4" s="20">
        <f>SUM(E4:G4)</f>
        <v>46</v>
      </c>
    </row>
    <row r="5" spans="1:8" x14ac:dyDescent="0.2">
      <c r="A5" s="59" t="str">
        <f>'[2]RFP Submittal'!A5</f>
        <v>Amerex Brokers, LLC</v>
      </c>
      <c r="B5" s="59"/>
      <c r="C5" s="59"/>
      <c r="D5" s="59"/>
      <c r="E5" s="19">
        <f>[2]Evaluation!E9</f>
        <v>0</v>
      </c>
      <c r="F5" s="19">
        <f>[2]Evaluation!H9</f>
        <v>22</v>
      </c>
      <c r="G5" s="19">
        <f>[2]Evaluation!K9</f>
        <v>15</v>
      </c>
      <c r="H5" s="20">
        <f>SUM(E5:G5)</f>
        <v>37</v>
      </c>
    </row>
    <row r="6" spans="1:8" x14ac:dyDescent="0.2">
      <c r="A6" s="59" t="str">
        <f>'[2]RFP Submittal'!A6</f>
        <v>Bernhard TME, LLC</v>
      </c>
      <c r="B6" s="59"/>
      <c r="C6" s="59"/>
      <c r="D6" s="59"/>
      <c r="E6" s="19">
        <f>[2]Evaluation!E10</f>
        <v>0</v>
      </c>
      <c r="F6" s="19">
        <f>[2]Evaluation!H10</f>
        <v>22</v>
      </c>
      <c r="G6" s="19">
        <f>[2]Evaluation!K10</f>
        <v>11</v>
      </c>
      <c r="H6" s="20">
        <f t="shared" ref="H6:H15" si="0">SUM(E6:G6)</f>
        <v>33</v>
      </c>
    </row>
    <row r="7" spans="1:8" x14ac:dyDescent="0.2">
      <c r="A7" s="59" t="str">
        <f>'[2]RFP Submittal'!A7</f>
        <v>Brasovan Energy</v>
      </c>
      <c r="B7" s="59"/>
      <c r="C7" s="59"/>
      <c r="D7" s="59"/>
      <c r="E7" s="19">
        <f>[2]Evaluation!E11</f>
        <v>0</v>
      </c>
      <c r="F7" s="19">
        <f>[2]Evaluation!H11</f>
        <v>20</v>
      </c>
      <c r="G7" s="19">
        <f>[2]Evaluation!K11</f>
        <v>10</v>
      </c>
      <c r="H7" s="20">
        <f t="shared" si="0"/>
        <v>30</v>
      </c>
    </row>
    <row r="8" spans="1:8" x14ac:dyDescent="0.2">
      <c r="A8" s="59" t="str">
        <f>'[2]RFP Submittal'!A8</f>
        <v>Energy Advisory Service</v>
      </c>
      <c r="B8" s="59"/>
      <c r="C8" s="59"/>
      <c r="D8" s="59"/>
      <c r="E8" s="19">
        <f>[2]Evaluation!E12</f>
        <v>0</v>
      </c>
      <c r="F8" s="19">
        <f>[2]Evaluation!H12</f>
        <v>16</v>
      </c>
      <c r="G8" s="19">
        <f>[2]Evaluation!K12</f>
        <v>10</v>
      </c>
      <c r="H8" s="20">
        <f t="shared" si="0"/>
        <v>26</v>
      </c>
    </row>
    <row r="9" spans="1:8" x14ac:dyDescent="0.2">
      <c r="A9" s="59" t="str">
        <f>'[2]RFP Submittal'!A9</f>
        <v>EnerNoc</v>
      </c>
      <c r="B9" s="59"/>
      <c r="C9" s="59"/>
      <c r="D9" s="59"/>
      <c r="E9" s="19">
        <f>[2]Evaluation!E13</f>
        <v>0</v>
      </c>
      <c r="F9" s="19">
        <f>[2]Evaluation!H13</f>
        <v>28</v>
      </c>
      <c r="G9" s="19">
        <f>[2]Evaluation!K13</f>
        <v>13</v>
      </c>
      <c r="H9" s="20">
        <f t="shared" si="0"/>
        <v>41</v>
      </c>
    </row>
    <row r="10" spans="1:8" x14ac:dyDescent="0.2">
      <c r="A10" s="59" t="str">
        <f>'[2]RFP Submittal'!A10</f>
        <v>Fowler Energy Company</v>
      </c>
      <c r="B10" s="59"/>
      <c r="C10" s="59"/>
      <c r="D10" s="59"/>
      <c r="E10" s="19">
        <f>[2]Evaluation!E14</f>
        <v>0</v>
      </c>
      <c r="F10" s="19">
        <f>[2]Evaluation!H14</f>
        <v>26</v>
      </c>
      <c r="G10" s="19">
        <f>[2]Evaluation!K14</f>
        <v>13</v>
      </c>
      <c r="H10" s="20">
        <f t="shared" si="0"/>
        <v>39</v>
      </c>
    </row>
    <row r="11" spans="1:8" x14ac:dyDescent="0.2">
      <c r="A11" s="59" t="str">
        <f>'[2]RFP Submittal'!A11</f>
        <v>River Oaks Energy</v>
      </c>
      <c r="B11" s="59"/>
      <c r="C11" s="59"/>
      <c r="D11" s="59"/>
      <c r="E11" s="19">
        <f>[2]Evaluation!E15</f>
        <v>0</v>
      </c>
      <c r="F11" s="19">
        <f>[2]Evaluation!H15</f>
        <v>16</v>
      </c>
      <c r="G11" s="19">
        <f>[2]Evaluation!K15</f>
        <v>8</v>
      </c>
      <c r="H11" s="20">
        <f t="shared" si="0"/>
        <v>24</v>
      </c>
    </row>
    <row r="12" spans="1:8" x14ac:dyDescent="0.2">
      <c r="A12" s="59" t="str">
        <f>'[2]RFP Submittal'!A12</f>
        <v>Schneider Engineering</v>
      </c>
      <c r="B12" s="59"/>
      <c r="C12" s="59"/>
      <c r="D12" s="59"/>
      <c r="E12" s="19">
        <f>[2]Evaluation!E16</f>
        <v>0</v>
      </c>
      <c r="F12" s="19">
        <f>[2]Evaluation!H16</f>
        <v>18</v>
      </c>
      <c r="G12" s="19">
        <f>[2]Evaluation!K16</f>
        <v>9</v>
      </c>
      <c r="H12" s="20">
        <f t="shared" si="0"/>
        <v>27</v>
      </c>
    </row>
    <row r="13" spans="1:8" x14ac:dyDescent="0.2">
      <c r="A13" s="59" t="str">
        <f>'[2]RFP Submittal'!A13</f>
        <v>Texas Energy Market</v>
      </c>
      <c r="B13" s="59"/>
      <c r="C13" s="59"/>
      <c r="D13" s="59"/>
      <c r="E13" s="19">
        <f>[2]Evaluation!E17</f>
        <v>0</v>
      </c>
      <c r="F13" s="19">
        <f>[2]Evaluation!H17</f>
        <v>10</v>
      </c>
      <c r="G13" s="19">
        <f>[2]Evaluation!K17</f>
        <v>6</v>
      </c>
      <c r="H13" s="20">
        <f t="shared" si="0"/>
        <v>16</v>
      </c>
    </row>
    <row r="14" spans="1:8" x14ac:dyDescent="0.2">
      <c r="A14" s="59" t="str">
        <f>'[2]RFP Submittal'!A14</f>
        <v>Van Brunt Associates</v>
      </c>
      <c r="B14" s="59"/>
      <c r="C14" s="59"/>
      <c r="D14" s="59"/>
      <c r="E14" s="19">
        <f>[2]Evaluation!E18</f>
        <v>0</v>
      </c>
      <c r="F14" s="19">
        <f>[2]Evaluation!H18</f>
        <v>20</v>
      </c>
      <c r="G14" s="19">
        <f>[2]Evaluation!K18</f>
        <v>12</v>
      </c>
      <c r="H14" s="20">
        <f t="shared" si="0"/>
        <v>32</v>
      </c>
    </row>
    <row r="15" spans="1:8" x14ac:dyDescent="0.2">
      <c r="A15" s="59" t="str">
        <f>'[2]RFP Submittal'!A15</f>
        <v>Vervantis</v>
      </c>
      <c r="B15" s="59"/>
      <c r="C15" s="59"/>
      <c r="D15" s="59"/>
      <c r="E15" s="19">
        <f>[2]Evaluation!E19</f>
        <v>0</v>
      </c>
      <c r="F15" s="19">
        <f>[2]Evaluation!H19</f>
        <v>18</v>
      </c>
      <c r="G15" s="19">
        <f>[2]Evaluation!K19</f>
        <v>8</v>
      </c>
      <c r="H15" s="20">
        <f t="shared" si="0"/>
        <v>26</v>
      </c>
    </row>
  </sheetData>
  <mergeCells count="14">
    <mergeCell ref="A14:D14"/>
    <mergeCell ref="A15:D15"/>
    <mergeCell ref="A8:D8"/>
    <mergeCell ref="A9:D9"/>
    <mergeCell ref="A10:D10"/>
    <mergeCell ref="A11:D11"/>
    <mergeCell ref="A12:D12"/>
    <mergeCell ref="A13:D13"/>
    <mergeCell ref="A7:D7"/>
    <mergeCell ref="E1:H1"/>
    <mergeCell ref="A3:D3"/>
    <mergeCell ref="A4:D4"/>
    <mergeCell ref="A5:D5"/>
    <mergeCell ref="A6:D6"/>
  </mergeCells>
  <pageMargins left="0.7" right="0.7" top="0.75" bottom="0.75" header="0.3" footer="0.3"/>
  <pageSetup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5"/>
  <sheetViews>
    <sheetView workbookViewId="0">
      <selection activeCell="E1" sqref="E1:H1"/>
    </sheetView>
  </sheetViews>
  <sheetFormatPr defaultRowHeight="12.75" x14ac:dyDescent="0.2"/>
  <cols>
    <col min="5" max="6" width="9" bestFit="1" customWidth="1"/>
    <col min="7" max="7" width="9" customWidth="1"/>
    <col min="8" max="8" width="6.5703125" bestFit="1" customWidth="1"/>
  </cols>
  <sheetData>
    <row r="1" spans="1:8" ht="15.75" x14ac:dyDescent="0.25">
      <c r="A1" s="17" t="s">
        <v>7</v>
      </c>
      <c r="B1" s="17"/>
      <c r="C1" s="17"/>
      <c r="D1" s="17"/>
      <c r="E1" s="60" t="s">
        <v>39</v>
      </c>
      <c r="F1" s="60"/>
      <c r="G1" s="60"/>
      <c r="H1" s="60"/>
    </row>
    <row r="2" spans="1:8" ht="15.75" x14ac:dyDescent="0.25">
      <c r="A2" s="17"/>
      <c r="B2" s="18"/>
    </row>
    <row r="3" spans="1:8" x14ac:dyDescent="0.2">
      <c r="A3" s="62" t="s">
        <v>8</v>
      </c>
      <c r="B3" s="62"/>
      <c r="C3" s="62"/>
      <c r="D3" s="62"/>
      <c r="E3" s="21" t="s">
        <v>9</v>
      </c>
      <c r="F3" s="21" t="s">
        <v>10</v>
      </c>
      <c r="G3" s="21" t="s">
        <v>11</v>
      </c>
      <c r="H3" s="22" t="s">
        <v>12</v>
      </c>
    </row>
    <row r="4" spans="1:8" x14ac:dyDescent="0.2">
      <c r="A4" s="59" t="str">
        <f>'[3]RFP Submittal'!A4</f>
        <v>Acclaim Energy, LTD</v>
      </c>
      <c r="B4" s="59"/>
      <c r="C4" s="59"/>
      <c r="D4" s="59"/>
      <c r="E4" s="19">
        <f>[3]Evaluation!E8</f>
        <v>0</v>
      </c>
      <c r="F4" s="19">
        <f>[3]Evaluation!H8</f>
        <v>28</v>
      </c>
      <c r="G4" s="19">
        <f>[3]Evaluation!K8</f>
        <v>14</v>
      </c>
      <c r="H4" s="20">
        <f>SUM(E4:G4)</f>
        <v>42</v>
      </c>
    </row>
    <row r="5" spans="1:8" x14ac:dyDescent="0.2">
      <c r="A5" s="59" t="str">
        <f>'[3]RFP Submittal'!A5</f>
        <v>Amerex Brokers, LLC</v>
      </c>
      <c r="B5" s="59"/>
      <c r="C5" s="59"/>
      <c r="D5" s="59"/>
      <c r="E5" s="19">
        <f>[3]Evaluation!E9</f>
        <v>0</v>
      </c>
      <c r="F5" s="19">
        <f>[3]Evaluation!H9</f>
        <v>32</v>
      </c>
      <c r="G5" s="19">
        <f>[3]Evaluation!K9</f>
        <v>14.8</v>
      </c>
      <c r="H5" s="20">
        <f>SUM(E5:G5)</f>
        <v>46.8</v>
      </c>
    </row>
    <row r="6" spans="1:8" x14ac:dyDescent="0.2">
      <c r="A6" s="59" t="str">
        <f>'[3]RFP Submittal'!A6</f>
        <v>Bernhard TME, LLC</v>
      </c>
      <c r="B6" s="59"/>
      <c r="C6" s="59"/>
      <c r="D6" s="59"/>
      <c r="E6" s="19">
        <f>[3]Evaluation!E10</f>
        <v>0</v>
      </c>
      <c r="F6" s="19">
        <f>[3]Evaluation!H10</f>
        <v>33.6</v>
      </c>
      <c r="G6" s="19">
        <f>[3]Evaluation!K10</f>
        <v>17.2</v>
      </c>
      <c r="H6" s="20">
        <f t="shared" ref="H6:H15" si="0">SUM(E6:G6)</f>
        <v>50.8</v>
      </c>
    </row>
    <row r="7" spans="1:8" x14ac:dyDescent="0.2">
      <c r="A7" s="59" t="str">
        <f>'[3]RFP Submittal'!A7</f>
        <v>Brasovan Energy</v>
      </c>
      <c r="B7" s="59"/>
      <c r="C7" s="59"/>
      <c r="D7" s="59"/>
      <c r="E7" s="19">
        <f>[3]Evaluation!E11</f>
        <v>0</v>
      </c>
      <c r="F7" s="19">
        <f>[3]Evaluation!H11</f>
        <v>36</v>
      </c>
      <c r="G7" s="19">
        <f>[3]Evaluation!K11</f>
        <v>16.8</v>
      </c>
      <c r="H7" s="20">
        <f t="shared" si="0"/>
        <v>52.8</v>
      </c>
    </row>
    <row r="8" spans="1:8" x14ac:dyDescent="0.2">
      <c r="A8" s="59" t="str">
        <f>'[3]RFP Submittal'!A8</f>
        <v>Energy Advisory Service</v>
      </c>
      <c r="B8" s="59"/>
      <c r="C8" s="59"/>
      <c r="D8" s="59"/>
      <c r="E8" s="19">
        <f>[3]Evaluation!E12</f>
        <v>0</v>
      </c>
      <c r="F8" s="19">
        <f>[3]Evaluation!H12</f>
        <v>29.6</v>
      </c>
      <c r="G8" s="19">
        <f>[3]Evaluation!K12</f>
        <v>10</v>
      </c>
      <c r="H8" s="20">
        <f t="shared" si="0"/>
        <v>39.6</v>
      </c>
    </row>
    <row r="9" spans="1:8" x14ac:dyDescent="0.2">
      <c r="A9" s="59" t="str">
        <f>'[3]RFP Submittal'!A9</f>
        <v>EnerNoc</v>
      </c>
      <c r="B9" s="59"/>
      <c r="C9" s="59"/>
      <c r="D9" s="59"/>
      <c r="E9" s="19">
        <f>[3]Evaluation!E13</f>
        <v>0</v>
      </c>
      <c r="F9" s="19">
        <f>[3]Evaluation!H13</f>
        <v>28</v>
      </c>
      <c r="G9" s="19">
        <f>[3]Evaluation!K13</f>
        <v>14.8</v>
      </c>
      <c r="H9" s="20">
        <f t="shared" si="0"/>
        <v>42.8</v>
      </c>
    </row>
    <row r="10" spans="1:8" x14ac:dyDescent="0.2">
      <c r="A10" s="59" t="str">
        <f>'[3]RFP Submittal'!A10</f>
        <v>Fowler Energy Company</v>
      </c>
      <c r="B10" s="59"/>
      <c r="C10" s="59"/>
      <c r="D10" s="59"/>
      <c r="E10" s="19">
        <f>[3]Evaluation!E14</f>
        <v>0</v>
      </c>
      <c r="F10" s="19">
        <f>[3]Evaluation!H14</f>
        <v>20</v>
      </c>
      <c r="G10" s="19">
        <f>[3]Evaluation!K14</f>
        <v>6</v>
      </c>
      <c r="H10" s="20">
        <f t="shared" si="0"/>
        <v>26</v>
      </c>
    </row>
    <row r="11" spans="1:8" x14ac:dyDescent="0.2">
      <c r="A11" s="59" t="str">
        <f>'[3]RFP Submittal'!A11</f>
        <v>River Oaks Energy</v>
      </c>
      <c r="B11" s="59"/>
      <c r="C11" s="59"/>
      <c r="D11" s="59"/>
      <c r="E11" s="19">
        <f>[3]Evaluation!E15</f>
        <v>0</v>
      </c>
      <c r="F11" s="19">
        <f>[3]Evaluation!H15</f>
        <v>32.799999999999997</v>
      </c>
      <c r="G11" s="19">
        <f>[3]Evaluation!K15</f>
        <v>8</v>
      </c>
      <c r="H11" s="20">
        <f t="shared" si="0"/>
        <v>40.799999999999997</v>
      </c>
    </row>
    <row r="12" spans="1:8" x14ac:dyDescent="0.2">
      <c r="A12" s="59" t="str">
        <f>'[3]RFP Submittal'!A12</f>
        <v>Schneider Engineering</v>
      </c>
      <c r="B12" s="59"/>
      <c r="C12" s="59"/>
      <c r="D12" s="59"/>
      <c r="E12" s="19">
        <f>[3]Evaluation!E16</f>
        <v>0</v>
      </c>
      <c r="F12" s="19">
        <f>[3]Evaluation!H16</f>
        <v>12</v>
      </c>
      <c r="G12" s="19">
        <f>[3]Evaluation!K16</f>
        <v>13.6</v>
      </c>
      <c r="H12" s="20">
        <f t="shared" si="0"/>
        <v>25.6</v>
      </c>
    </row>
    <row r="13" spans="1:8" x14ac:dyDescent="0.2">
      <c r="A13" s="59" t="str">
        <f>'[3]RFP Submittal'!A13</f>
        <v>Texas Energy Market</v>
      </c>
      <c r="B13" s="59"/>
      <c r="C13" s="59"/>
      <c r="D13" s="59"/>
      <c r="E13" s="19">
        <f>[3]Evaluation!E17</f>
        <v>0</v>
      </c>
      <c r="F13" s="19">
        <f>[3]Evaluation!H17</f>
        <v>8</v>
      </c>
      <c r="G13" s="19">
        <f>[3]Evaluation!K17</f>
        <v>4</v>
      </c>
      <c r="H13" s="20">
        <f t="shared" si="0"/>
        <v>12</v>
      </c>
    </row>
    <row r="14" spans="1:8" x14ac:dyDescent="0.2">
      <c r="A14" s="59" t="str">
        <f>'[3]RFP Submittal'!A14</f>
        <v>Van Brunt Associates</v>
      </c>
      <c r="B14" s="59"/>
      <c r="C14" s="59"/>
      <c r="D14" s="59"/>
      <c r="E14" s="19">
        <f>[3]Evaluation!E18</f>
        <v>0</v>
      </c>
      <c r="F14" s="19">
        <f>[3]Evaluation!H18</f>
        <v>16</v>
      </c>
      <c r="G14" s="19">
        <f>[3]Evaluation!K18</f>
        <v>8</v>
      </c>
      <c r="H14" s="20">
        <f t="shared" si="0"/>
        <v>24</v>
      </c>
    </row>
    <row r="15" spans="1:8" x14ac:dyDescent="0.2">
      <c r="A15" s="59" t="str">
        <f>'[3]RFP Submittal'!A15</f>
        <v>Vervantis</v>
      </c>
      <c r="B15" s="59"/>
      <c r="C15" s="59"/>
      <c r="D15" s="59"/>
      <c r="E15" s="19">
        <f>[3]Evaluation!E19</f>
        <v>0</v>
      </c>
      <c r="F15" s="19">
        <f>[3]Evaluation!H19</f>
        <v>21.6</v>
      </c>
      <c r="G15" s="19">
        <f>[3]Evaluation!K19</f>
        <v>0</v>
      </c>
      <c r="H15" s="20">
        <f t="shared" si="0"/>
        <v>21.6</v>
      </c>
    </row>
  </sheetData>
  <mergeCells count="14">
    <mergeCell ref="A14:D14"/>
    <mergeCell ref="A15:D15"/>
    <mergeCell ref="A8:D8"/>
    <mergeCell ref="A9:D9"/>
    <mergeCell ref="A10:D10"/>
    <mergeCell ref="A11:D11"/>
    <mergeCell ref="A12:D12"/>
    <mergeCell ref="A13:D13"/>
    <mergeCell ref="A7:D7"/>
    <mergeCell ref="E1:H1"/>
    <mergeCell ref="A3:D3"/>
    <mergeCell ref="A4:D4"/>
    <mergeCell ref="A5:D5"/>
    <mergeCell ref="A6:D6"/>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5"/>
  <sheetViews>
    <sheetView workbookViewId="0">
      <selection activeCell="E1" sqref="E1:H1"/>
    </sheetView>
  </sheetViews>
  <sheetFormatPr defaultColWidth="8.85546875" defaultRowHeight="12.75" x14ac:dyDescent="0.2"/>
  <cols>
    <col min="5" max="6" width="9" bestFit="1" customWidth="1"/>
    <col min="7" max="7" width="9" customWidth="1"/>
    <col min="8" max="8" width="6.42578125" bestFit="1" customWidth="1"/>
  </cols>
  <sheetData>
    <row r="1" spans="1:8" ht="15.75" x14ac:dyDescent="0.25">
      <c r="A1" s="17" t="s">
        <v>7</v>
      </c>
      <c r="B1" s="17"/>
      <c r="C1" s="17"/>
      <c r="D1" s="17"/>
      <c r="E1" s="60" t="s">
        <v>40</v>
      </c>
      <c r="F1" s="60"/>
      <c r="G1" s="60"/>
      <c r="H1" s="60"/>
    </row>
    <row r="2" spans="1:8" ht="15.75" x14ac:dyDescent="0.25">
      <c r="A2" s="17"/>
      <c r="B2" s="18"/>
    </row>
    <row r="3" spans="1:8" x14ac:dyDescent="0.2">
      <c r="A3" s="62" t="s">
        <v>8</v>
      </c>
      <c r="B3" s="62"/>
      <c r="C3" s="62"/>
      <c r="D3" s="62"/>
      <c r="E3" s="21" t="s">
        <v>9</v>
      </c>
      <c r="F3" s="21" t="s">
        <v>10</v>
      </c>
      <c r="G3" s="21" t="s">
        <v>11</v>
      </c>
      <c r="H3" s="22" t="s">
        <v>12</v>
      </c>
    </row>
    <row r="4" spans="1:8" x14ac:dyDescent="0.2">
      <c r="A4" s="59" t="str">
        <f>'[4]RFP Submittal'!A4</f>
        <v>Acclaim Energy, LTD</v>
      </c>
      <c r="B4" s="59"/>
      <c r="C4" s="59"/>
      <c r="D4" s="59"/>
      <c r="E4" s="19">
        <f>[4]Evaluation!E8</f>
        <v>0</v>
      </c>
      <c r="F4" s="19">
        <f>[4]Evaluation!H8</f>
        <v>28</v>
      </c>
      <c r="G4" s="19">
        <f>[4]Evaluation!K8</f>
        <v>12</v>
      </c>
      <c r="H4" s="20">
        <f>SUM(E4:G4)</f>
        <v>40</v>
      </c>
    </row>
    <row r="5" spans="1:8" x14ac:dyDescent="0.2">
      <c r="A5" s="59" t="str">
        <f>'[4]RFP Submittal'!A5</f>
        <v>Amerex Brokers, LLC</v>
      </c>
      <c r="B5" s="59"/>
      <c r="C5" s="59"/>
      <c r="D5" s="59"/>
      <c r="E5" s="19">
        <f>[4]Evaluation!E9</f>
        <v>0</v>
      </c>
      <c r="F5" s="19">
        <f>[4]Evaluation!H9</f>
        <v>28</v>
      </c>
      <c r="G5" s="19">
        <f>[4]Evaluation!K9</f>
        <v>18</v>
      </c>
      <c r="H5" s="20">
        <f>SUM(E5:G5)</f>
        <v>46</v>
      </c>
    </row>
    <row r="6" spans="1:8" x14ac:dyDescent="0.2">
      <c r="A6" s="59" t="str">
        <f>'[4]RFP Submittal'!A6</f>
        <v>Bernhard TME, LLC</v>
      </c>
      <c r="B6" s="59"/>
      <c r="C6" s="59"/>
      <c r="D6" s="59"/>
      <c r="E6" s="19">
        <f>[4]Evaluation!E10</f>
        <v>0</v>
      </c>
      <c r="F6" s="19">
        <f>[4]Evaluation!H10</f>
        <v>19.2</v>
      </c>
      <c r="G6" s="19">
        <f>[4]Evaluation!K10</f>
        <v>13.6</v>
      </c>
      <c r="H6" s="20">
        <f t="shared" ref="H6:H15" si="0">SUM(E6:G6)</f>
        <v>32.799999999999997</v>
      </c>
    </row>
    <row r="7" spans="1:8" x14ac:dyDescent="0.2">
      <c r="A7" s="59" t="str">
        <f>'[4]RFP Submittal'!A7</f>
        <v>Brasovan Energy</v>
      </c>
      <c r="B7" s="59"/>
      <c r="C7" s="59"/>
      <c r="D7" s="59"/>
      <c r="E7" s="19">
        <f>[4]Evaluation!E11</f>
        <v>0</v>
      </c>
      <c r="F7" s="19">
        <f>[4]Evaluation!H11</f>
        <v>24</v>
      </c>
      <c r="G7" s="19">
        <f>[4]Evaluation!K11</f>
        <v>10</v>
      </c>
      <c r="H7" s="20">
        <f t="shared" si="0"/>
        <v>34</v>
      </c>
    </row>
    <row r="8" spans="1:8" x14ac:dyDescent="0.2">
      <c r="A8" s="59" t="str">
        <f>'[4]RFP Submittal'!A8</f>
        <v>Energy Advisory Service</v>
      </c>
      <c r="B8" s="59"/>
      <c r="C8" s="59"/>
      <c r="D8" s="59"/>
      <c r="E8" s="19">
        <f>[4]Evaluation!E12</f>
        <v>0</v>
      </c>
      <c r="F8" s="19">
        <f>[4]Evaluation!H12</f>
        <v>16</v>
      </c>
      <c r="G8" s="19">
        <f>[4]Evaluation!K12</f>
        <v>8</v>
      </c>
      <c r="H8" s="20">
        <f t="shared" si="0"/>
        <v>24</v>
      </c>
    </row>
    <row r="9" spans="1:8" x14ac:dyDescent="0.2">
      <c r="A9" s="59" t="str">
        <f>'[4]RFP Submittal'!A9</f>
        <v>EnerNoc</v>
      </c>
      <c r="B9" s="59"/>
      <c r="C9" s="59"/>
      <c r="D9" s="59"/>
      <c r="E9" s="19">
        <f>[4]Evaluation!E13</f>
        <v>0</v>
      </c>
      <c r="F9" s="19">
        <f>[4]Evaluation!H13</f>
        <v>16</v>
      </c>
      <c r="G9" s="19">
        <f>[4]Evaluation!K13</f>
        <v>18</v>
      </c>
      <c r="H9" s="20">
        <f t="shared" si="0"/>
        <v>34</v>
      </c>
    </row>
    <row r="10" spans="1:8" x14ac:dyDescent="0.2">
      <c r="A10" s="59" t="str">
        <f>'[4]RFP Submittal'!A10</f>
        <v>Fowler Energy Company</v>
      </c>
      <c r="B10" s="59"/>
      <c r="C10" s="59"/>
      <c r="D10" s="59"/>
      <c r="E10" s="19">
        <f>[4]Evaluation!E14</f>
        <v>0</v>
      </c>
      <c r="F10" s="19">
        <f>[4]Evaluation!H14</f>
        <v>24</v>
      </c>
      <c r="G10" s="19">
        <f>[4]Evaluation!K14</f>
        <v>14</v>
      </c>
      <c r="H10" s="20">
        <f t="shared" si="0"/>
        <v>38</v>
      </c>
    </row>
    <row r="11" spans="1:8" x14ac:dyDescent="0.2">
      <c r="A11" s="59" t="str">
        <f>'[4]RFP Submittal'!A11</f>
        <v>River Oaks Energy</v>
      </c>
      <c r="B11" s="59"/>
      <c r="C11" s="59"/>
      <c r="D11" s="59"/>
      <c r="E11" s="19">
        <f>[4]Evaluation!E15</f>
        <v>0</v>
      </c>
      <c r="F11" s="19">
        <f>[4]Evaluation!H15</f>
        <v>16</v>
      </c>
      <c r="G11" s="19">
        <f>[4]Evaluation!K15</f>
        <v>6</v>
      </c>
      <c r="H11" s="20">
        <f t="shared" si="0"/>
        <v>22</v>
      </c>
    </row>
    <row r="12" spans="1:8" x14ac:dyDescent="0.2">
      <c r="A12" s="59" t="str">
        <f>'[4]RFP Submittal'!A12</f>
        <v>Schneider Engineering</v>
      </c>
      <c r="B12" s="59"/>
      <c r="C12" s="59"/>
      <c r="D12" s="59"/>
      <c r="E12" s="19">
        <f>[4]Evaluation!E16</f>
        <v>0</v>
      </c>
      <c r="F12" s="19">
        <f>[4]Evaluation!H16</f>
        <v>16</v>
      </c>
      <c r="G12" s="19">
        <f>[4]Evaluation!K16</f>
        <v>12</v>
      </c>
      <c r="H12" s="20">
        <f t="shared" si="0"/>
        <v>28</v>
      </c>
    </row>
    <row r="13" spans="1:8" x14ac:dyDescent="0.2">
      <c r="A13" s="59" t="str">
        <f>'[4]RFP Submittal'!A13</f>
        <v>Texas Energy Market</v>
      </c>
      <c r="B13" s="59"/>
      <c r="C13" s="59"/>
      <c r="D13" s="59"/>
      <c r="E13" s="19">
        <f>[4]Evaluation!E17</f>
        <v>0</v>
      </c>
      <c r="F13" s="19">
        <f>[4]Evaluation!H17</f>
        <v>8</v>
      </c>
      <c r="G13" s="19">
        <f>[4]Evaluation!K17</f>
        <v>4</v>
      </c>
      <c r="H13" s="20">
        <f t="shared" si="0"/>
        <v>12</v>
      </c>
    </row>
    <row r="14" spans="1:8" x14ac:dyDescent="0.2">
      <c r="A14" s="59" t="str">
        <f>'[4]RFP Submittal'!A14</f>
        <v>Van Brunt Associates</v>
      </c>
      <c r="B14" s="59"/>
      <c r="C14" s="59"/>
      <c r="D14" s="59"/>
      <c r="E14" s="19">
        <f>[4]Evaluation!E18</f>
        <v>0</v>
      </c>
      <c r="F14" s="19">
        <f>[4]Evaluation!H18</f>
        <v>19.2</v>
      </c>
      <c r="G14" s="19">
        <f>[4]Evaluation!K18</f>
        <v>12</v>
      </c>
      <c r="H14" s="20">
        <f t="shared" si="0"/>
        <v>31.2</v>
      </c>
    </row>
    <row r="15" spans="1:8" x14ac:dyDescent="0.2">
      <c r="A15" s="59" t="str">
        <f>'[4]RFP Submittal'!A15</f>
        <v>Vervantis</v>
      </c>
      <c r="B15" s="59"/>
      <c r="C15" s="59"/>
      <c r="D15" s="59"/>
      <c r="E15" s="19">
        <f>[4]Evaluation!E19</f>
        <v>0</v>
      </c>
      <c r="F15" s="19">
        <f>[4]Evaluation!H19</f>
        <v>16</v>
      </c>
      <c r="G15" s="19">
        <f>[4]Evaluation!K19</f>
        <v>8</v>
      </c>
      <c r="H15" s="20">
        <f t="shared" si="0"/>
        <v>24</v>
      </c>
    </row>
  </sheetData>
  <mergeCells count="14">
    <mergeCell ref="A14:D14"/>
    <mergeCell ref="A15:D15"/>
    <mergeCell ref="A8:D8"/>
    <mergeCell ref="A9:D9"/>
    <mergeCell ref="A10:D10"/>
    <mergeCell ref="A11:D11"/>
    <mergeCell ref="A12:D12"/>
    <mergeCell ref="A13:D13"/>
    <mergeCell ref="A7:D7"/>
    <mergeCell ref="E1:H1"/>
    <mergeCell ref="A3:D3"/>
    <mergeCell ref="A4:D4"/>
    <mergeCell ref="A5:D5"/>
    <mergeCell ref="A6:D6"/>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5"/>
  <sheetViews>
    <sheetView workbookViewId="0">
      <selection activeCell="E1" sqref="E1:H1"/>
    </sheetView>
  </sheetViews>
  <sheetFormatPr defaultRowHeight="12.75" x14ac:dyDescent="0.2"/>
  <cols>
    <col min="5" max="6" width="9" bestFit="1" customWidth="1"/>
    <col min="7" max="7" width="9" customWidth="1"/>
    <col min="8" max="8" width="6.5703125" bestFit="1" customWidth="1"/>
  </cols>
  <sheetData>
    <row r="1" spans="1:8" ht="15.75" x14ac:dyDescent="0.25">
      <c r="A1" s="17" t="s">
        <v>7</v>
      </c>
      <c r="B1" s="17"/>
      <c r="C1" s="17"/>
      <c r="D1" s="17"/>
      <c r="E1" s="60" t="s">
        <v>41</v>
      </c>
      <c r="F1" s="60"/>
      <c r="G1" s="60"/>
      <c r="H1" s="60"/>
    </row>
    <row r="2" spans="1:8" ht="15.75" x14ac:dyDescent="0.25">
      <c r="A2" s="17"/>
      <c r="B2" s="18"/>
    </row>
    <row r="3" spans="1:8" x14ac:dyDescent="0.2">
      <c r="A3" s="62" t="s">
        <v>8</v>
      </c>
      <c r="B3" s="62"/>
      <c r="C3" s="62"/>
      <c r="D3" s="62"/>
      <c r="E3" s="21" t="s">
        <v>9</v>
      </c>
      <c r="F3" s="21" t="s">
        <v>10</v>
      </c>
      <c r="G3" s="21" t="s">
        <v>11</v>
      </c>
      <c r="H3" s="22" t="s">
        <v>12</v>
      </c>
    </row>
    <row r="4" spans="1:8" x14ac:dyDescent="0.2">
      <c r="A4" s="59" t="str">
        <f>'[5]RFP Submittal'!A4</f>
        <v>Acclaim Energy, LTD</v>
      </c>
      <c r="B4" s="59"/>
      <c r="C4" s="59"/>
      <c r="D4" s="59"/>
      <c r="E4" s="19">
        <f>[5]Evaluation!E8</f>
        <v>0</v>
      </c>
      <c r="F4" s="19">
        <f>[5]Evaluation!H8</f>
        <v>24</v>
      </c>
      <c r="G4" s="19">
        <f>[5]Evaluation!K8</f>
        <v>14</v>
      </c>
      <c r="H4" s="20">
        <f>SUM(E4:G4)</f>
        <v>38</v>
      </c>
    </row>
    <row r="5" spans="1:8" x14ac:dyDescent="0.2">
      <c r="A5" s="59" t="str">
        <f>'[5]RFP Submittal'!A5</f>
        <v>Amerex Brokers, LLC</v>
      </c>
      <c r="B5" s="59"/>
      <c r="C5" s="59"/>
      <c r="D5" s="59"/>
      <c r="E5" s="19">
        <f>[5]Evaluation!E9</f>
        <v>0</v>
      </c>
      <c r="F5" s="19">
        <f>[5]Evaluation!H9</f>
        <v>36</v>
      </c>
      <c r="G5" s="19">
        <f>[5]Evaluation!K9</f>
        <v>18</v>
      </c>
      <c r="H5" s="20">
        <f>SUM(E5:G5)</f>
        <v>54</v>
      </c>
    </row>
    <row r="6" spans="1:8" x14ac:dyDescent="0.2">
      <c r="A6" s="59" t="str">
        <f>'[5]RFP Submittal'!A6</f>
        <v>Bernhard TME, LLC</v>
      </c>
      <c r="B6" s="59"/>
      <c r="C6" s="59"/>
      <c r="D6" s="59"/>
      <c r="E6" s="19">
        <f>[5]Evaluation!E10</f>
        <v>0</v>
      </c>
      <c r="F6" s="19">
        <f>[5]Evaluation!H10</f>
        <v>24</v>
      </c>
      <c r="G6" s="19">
        <f>[5]Evaluation!K10</f>
        <v>10</v>
      </c>
      <c r="H6" s="20">
        <f t="shared" ref="H6:H15" si="0">SUM(E6:G6)</f>
        <v>34</v>
      </c>
    </row>
    <row r="7" spans="1:8" x14ac:dyDescent="0.2">
      <c r="A7" s="59" t="str">
        <f>'[5]RFP Submittal'!A7</f>
        <v>Brasovan Energy</v>
      </c>
      <c r="B7" s="59"/>
      <c r="C7" s="59"/>
      <c r="D7" s="59"/>
      <c r="E7" s="19">
        <f>[5]Evaluation!E11</f>
        <v>0</v>
      </c>
      <c r="F7" s="19">
        <f>[5]Evaluation!H11</f>
        <v>40</v>
      </c>
      <c r="G7" s="19">
        <f>[5]Evaluation!K11</f>
        <v>16</v>
      </c>
      <c r="H7" s="20">
        <f t="shared" si="0"/>
        <v>56</v>
      </c>
    </row>
    <row r="8" spans="1:8" x14ac:dyDescent="0.2">
      <c r="A8" s="59" t="str">
        <f>'[5]RFP Submittal'!A8</f>
        <v>Energy Advisory Service</v>
      </c>
      <c r="B8" s="59"/>
      <c r="C8" s="59"/>
      <c r="D8" s="59"/>
      <c r="E8" s="19">
        <f>[5]Evaluation!E12</f>
        <v>0</v>
      </c>
      <c r="F8" s="19">
        <f>[5]Evaluation!H12</f>
        <v>20</v>
      </c>
      <c r="G8" s="19">
        <f>[5]Evaluation!K12</f>
        <v>6</v>
      </c>
      <c r="H8" s="20">
        <f t="shared" si="0"/>
        <v>26</v>
      </c>
    </row>
    <row r="9" spans="1:8" x14ac:dyDescent="0.2">
      <c r="A9" s="59" t="str">
        <f>'[5]RFP Submittal'!A9</f>
        <v>EnerNoc</v>
      </c>
      <c r="B9" s="59"/>
      <c r="C9" s="59"/>
      <c r="D9" s="59"/>
      <c r="E9" s="19">
        <f>[5]Evaluation!E13</f>
        <v>0</v>
      </c>
      <c r="F9" s="19">
        <f>[5]Evaluation!H13</f>
        <v>20</v>
      </c>
      <c r="G9" s="19">
        <f>[5]Evaluation!K13</f>
        <v>12</v>
      </c>
      <c r="H9" s="20">
        <f t="shared" si="0"/>
        <v>32</v>
      </c>
    </row>
    <row r="10" spans="1:8" x14ac:dyDescent="0.2">
      <c r="A10" s="59" t="str">
        <f>'[5]RFP Submittal'!A10</f>
        <v>Fowler Energy Company</v>
      </c>
      <c r="B10" s="59"/>
      <c r="C10" s="59"/>
      <c r="D10" s="59"/>
      <c r="E10" s="19">
        <f>[5]Evaluation!E14</f>
        <v>0</v>
      </c>
      <c r="F10" s="19">
        <f>[5]Evaluation!H14</f>
        <v>20</v>
      </c>
      <c r="G10" s="19">
        <f>[5]Evaluation!K14</f>
        <v>4</v>
      </c>
      <c r="H10" s="20">
        <f t="shared" si="0"/>
        <v>24</v>
      </c>
    </row>
    <row r="11" spans="1:8" x14ac:dyDescent="0.2">
      <c r="A11" s="59" t="str">
        <f>'[5]RFP Submittal'!A11</f>
        <v>River Oaks Energy</v>
      </c>
      <c r="B11" s="59"/>
      <c r="C11" s="59"/>
      <c r="D11" s="59"/>
      <c r="E11" s="19">
        <f>[5]Evaluation!E15</f>
        <v>0</v>
      </c>
      <c r="F11" s="19">
        <f>[5]Evaluation!H15</f>
        <v>28</v>
      </c>
      <c r="G11" s="19">
        <f>[5]Evaluation!K15</f>
        <v>10</v>
      </c>
      <c r="H11" s="20">
        <f t="shared" si="0"/>
        <v>38</v>
      </c>
    </row>
    <row r="12" spans="1:8" x14ac:dyDescent="0.2">
      <c r="A12" s="59" t="str">
        <f>'[5]RFP Submittal'!A12</f>
        <v>Schneider Engineering</v>
      </c>
      <c r="B12" s="59"/>
      <c r="C12" s="59"/>
      <c r="D12" s="59"/>
      <c r="E12" s="19">
        <f>[5]Evaluation!E16</f>
        <v>0</v>
      </c>
      <c r="F12" s="19">
        <f>[5]Evaluation!H16</f>
        <v>8</v>
      </c>
      <c r="G12" s="19">
        <f>[5]Evaluation!K16</f>
        <v>12</v>
      </c>
      <c r="H12" s="20">
        <f t="shared" si="0"/>
        <v>20</v>
      </c>
    </row>
    <row r="13" spans="1:8" x14ac:dyDescent="0.2">
      <c r="A13" s="59" t="str">
        <f>'[5]RFP Submittal'!A13</f>
        <v>Texas Energy Market</v>
      </c>
      <c r="B13" s="59"/>
      <c r="C13" s="59"/>
      <c r="D13" s="59"/>
      <c r="E13" s="19">
        <f>[5]Evaluation!E17</f>
        <v>0</v>
      </c>
      <c r="F13" s="19">
        <f>[5]Evaluation!H17</f>
        <v>8</v>
      </c>
      <c r="G13" s="19">
        <f>[5]Evaluation!K17</f>
        <v>4</v>
      </c>
      <c r="H13" s="20">
        <f t="shared" si="0"/>
        <v>12</v>
      </c>
    </row>
    <row r="14" spans="1:8" x14ac:dyDescent="0.2">
      <c r="A14" s="59" t="str">
        <f>'[5]RFP Submittal'!A14</f>
        <v>Van Brunt Associates</v>
      </c>
      <c r="B14" s="59"/>
      <c r="C14" s="59"/>
      <c r="D14" s="59"/>
      <c r="E14" s="19">
        <f>[5]Evaluation!E18</f>
        <v>0</v>
      </c>
      <c r="F14" s="19">
        <f>[5]Evaluation!H18</f>
        <v>20</v>
      </c>
      <c r="G14" s="19">
        <f>[5]Evaluation!K18</f>
        <v>4</v>
      </c>
      <c r="H14" s="20">
        <f t="shared" si="0"/>
        <v>24</v>
      </c>
    </row>
    <row r="15" spans="1:8" x14ac:dyDescent="0.2">
      <c r="A15" s="59" t="str">
        <f>'[5]RFP Submittal'!A15</f>
        <v>Vervantis</v>
      </c>
      <c r="B15" s="59"/>
      <c r="C15" s="59"/>
      <c r="D15" s="59"/>
      <c r="E15" s="19">
        <f>[5]Evaluation!E19</f>
        <v>0</v>
      </c>
      <c r="F15" s="19">
        <f>[5]Evaluation!H19</f>
        <v>24</v>
      </c>
      <c r="G15" s="19">
        <f>[5]Evaluation!K19</f>
        <v>0</v>
      </c>
      <c r="H15" s="20">
        <f t="shared" si="0"/>
        <v>24</v>
      </c>
    </row>
  </sheetData>
  <mergeCells count="14">
    <mergeCell ref="A14:D14"/>
    <mergeCell ref="A15:D15"/>
    <mergeCell ref="A8:D8"/>
    <mergeCell ref="A9:D9"/>
    <mergeCell ref="A10:D10"/>
    <mergeCell ref="A11:D11"/>
    <mergeCell ref="A12:D12"/>
    <mergeCell ref="A13:D13"/>
    <mergeCell ref="A7:D7"/>
    <mergeCell ref="E1:H1"/>
    <mergeCell ref="A3:D3"/>
    <mergeCell ref="A4:D4"/>
    <mergeCell ref="A5:D5"/>
    <mergeCell ref="A6:D6"/>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5"/>
  <sheetViews>
    <sheetView workbookViewId="0">
      <selection activeCell="C29" sqref="C29"/>
    </sheetView>
  </sheetViews>
  <sheetFormatPr defaultRowHeight="12.75" x14ac:dyDescent="0.2"/>
  <cols>
    <col min="5" max="6" width="9" bestFit="1" customWidth="1"/>
    <col min="7" max="7" width="9" customWidth="1"/>
    <col min="8" max="8" width="6.5703125" bestFit="1" customWidth="1"/>
  </cols>
  <sheetData>
    <row r="1" spans="1:8" ht="15.75" x14ac:dyDescent="0.25">
      <c r="A1" s="17" t="s">
        <v>7</v>
      </c>
      <c r="B1" s="17"/>
      <c r="C1" s="17"/>
      <c r="D1" s="17"/>
      <c r="E1" s="60" t="s">
        <v>42</v>
      </c>
      <c r="F1" s="60"/>
      <c r="G1" s="60"/>
      <c r="H1" s="60"/>
    </row>
    <row r="2" spans="1:8" ht="15.75" x14ac:dyDescent="0.25">
      <c r="A2" s="17"/>
      <c r="B2" s="18"/>
    </row>
    <row r="3" spans="1:8" x14ac:dyDescent="0.2">
      <c r="A3" s="62" t="s">
        <v>8</v>
      </c>
      <c r="B3" s="62"/>
      <c r="C3" s="62"/>
      <c r="D3" s="62"/>
      <c r="E3" s="21" t="s">
        <v>9</v>
      </c>
      <c r="F3" s="21" t="s">
        <v>10</v>
      </c>
      <c r="G3" s="21" t="s">
        <v>11</v>
      </c>
      <c r="H3" s="22" t="s">
        <v>12</v>
      </c>
    </row>
    <row r="4" spans="1:8" x14ac:dyDescent="0.2">
      <c r="A4" s="59" t="str">
        <f>'[6]RFP Submittal'!A4</f>
        <v>Acclaim Energy, LTD</v>
      </c>
      <c r="B4" s="59"/>
      <c r="C4" s="59"/>
      <c r="D4" s="59"/>
      <c r="E4" s="19">
        <f>[6]Evaluation!E8</f>
        <v>0</v>
      </c>
      <c r="F4" s="19">
        <f>[6]Evaluation!H8</f>
        <v>32</v>
      </c>
      <c r="G4" s="19">
        <f>[6]Evaluation!K8</f>
        <v>16</v>
      </c>
      <c r="H4" s="20">
        <f>SUM(E4:G4)</f>
        <v>48</v>
      </c>
    </row>
    <row r="5" spans="1:8" x14ac:dyDescent="0.2">
      <c r="A5" s="59" t="str">
        <f>'[6]RFP Submittal'!A5</f>
        <v>Amerex Brokers, LLC</v>
      </c>
      <c r="B5" s="59"/>
      <c r="C5" s="59"/>
      <c r="D5" s="59"/>
      <c r="E5" s="19">
        <f>[6]Evaluation!E9</f>
        <v>0</v>
      </c>
      <c r="F5" s="19">
        <f>[6]Evaluation!H9</f>
        <v>32</v>
      </c>
      <c r="G5" s="19">
        <f>[6]Evaluation!K9</f>
        <v>16</v>
      </c>
      <c r="H5" s="20">
        <f>SUM(E5:G5)</f>
        <v>48</v>
      </c>
    </row>
    <row r="6" spans="1:8" x14ac:dyDescent="0.2">
      <c r="A6" s="59" t="str">
        <f>'[6]RFP Submittal'!A6</f>
        <v>Bernhard TME, LLC</v>
      </c>
      <c r="B6" s="59"/>
      <c r="C6" s="59"/>
      <c r="D6" s="59"/>
      <c r="E6" s="19">
        <f>[6]Evaluation!E10</f>
        <v>0</v>
      </c>
      <c r="F6" s="19">
        <f>[6]Evaluation!H10</f>
        <v>32.799999999999997</v>
      </c>
      <c r="G6" s="19">
        <f>[6]Evaluation!K10</f>
        <v>16.399999999999999</v>
      </c>
      <c r="H6" s="20">
        <f t="shared" ref="H6:H15" si="0">SUM(E6:G6)</f>
        <v>49.199999999999996</v>
      </c>
    </row>
    <row r="7" spans="1:8" x14ac:dyDescent="0.2">
      <c r="A7" s="59" t="str">
        <f>'[6]RFP Submittal'!A7</f>
        <v>Brasovan Energy</v>
      </c>
      <c r="B7" s="59"/>
      <c r="C7" s="59"/>
      <c r="D7" s="59"/>
      <c r="E7" s="19">
        <f>[6]Evaluation!E11</f>
        <v>0</v>
      </c>
      <c r="F7" s="19">
        <f>[6]Evaluation!H11</f>
        <v>34.4</v>
      </c>
      <c r="G7" s="19">
        <f>[6]Evaluation!K11</f>
        <v>17.2</v>
      </c>
      <c r="H7" s="20">
        <f t="shared" si="0"/>
        <v>51.599999999999994</v>
      </c>
    </row>
    <row r="8" spans="1:8" x14ac:dyDescent="0.2">
      <c r="A8" s="59" t="str">
        <f>'[6]RFP Submittal'!A8</f>
        <v>Energy Advisory Service</v>
      </c>
      <c r="B8" s="59"/>
      <c r="C8" s="59"/>
      <c r="D8" s="59"/>
      <c r="E8" s="19">
        <f>[6]Evaluation!E12</f>
        <v>0</v>
      </c>
      <c r="F8" s="19">
        <f>[6]Evaluation!H12</f>
        <v>31.2</v>
      </c>
      <c r="G8" s="19">
        <f>[6]Evaluation!K12</f>
        <v>15.6</v>
      </c>
      <c r="H8" s="20">
        <f t="shared" si="0"/>
        <v>46.8</v>
      </c>
    </row>
    <row r="9" spans="1:8" x14ac:dyDescent="0.2">
      <c r="A9" s="59" t="str">
        <f>'[6]RFP Submittal'!A9</f>
        <v>EnerNoc</v>
      </c>
      <c r="B9" s="59"/>
      <c r="C9" s="59"/>
      <c r="D9" s="59"/>
      <c r="E9" s="19">
        <f>[6]Evaluation!E13</f>
        <v>0</v>
      </c>
      <c r="F9" s="19">
        <f>[6]Evaluation!H13</f>
        <v>35.200000000000003</v>
      </c>
      <c r="G9" s="19">
        <f>[6]Evaluation!K13</f>
        <v>17.600000000000001</v>
      </c>
      <c r="H9" s="20">
        <f t="shared" si="0"/>
        <v>52.800000000000004</v>
      </c>
    </row>
    <row r="10" spans="1:8" x14ac:dyDescent="0.2">
      <c r="A10" s="59" t="str">
        <f>'[6]RFP Submittal'!A10</f>
        <v>Fowler Energy Company</v>
      </c>
      <c r="B10" s="59"/>
      <c r="C10" s="59"/>
      <c r="D10" s="59"/>
      <c r="E10" s="19">
        <f>[6]Evaluation!E14</f>
        <v>0</v>
      </c>
      <c r="F10" s="19">
        <f>[6]Evaluation!H14</f>
        <v>32</v>
      </c>
      <c r="G10" s="19">
        <f>[6]Evaluation!K14</f>
        <v>16</v>
      </c>
      <c r="H10" s="20">
        <f t="shared" si="0"/>
        <v>48</v>
      </c>
    </row>
    <row r="11" spans="1:8" x14ac:dyDescent="0.2">
      <c r="A11" s="59" t="str">
        <f>'[6]RFP Submittal'!A11</f>
        <v>River Oaks Energy</v>
      </c>
      <c r="B11" s="59"/>
      <c r="C11" s="59"/>
      <c r="D11" s="59"/>
      <c r="E11" s="19">
        <f>[6]Evaluation!E15</f>
        <v>0</v>
      </c>
      <c r="F11" s="19">
        <f>[6]Evaluation!H15</f>
        <v>26.4</v>
      </c>
      <c r="G11" s="19">
        <f>[6]Evaluation!K15</f>
        <v>13.2</v>
      </c>
      <c r="H11" s="20">
        <f t="shared" si="0"/>
        <v>39.599999999999994</v>
      </c>
    </row>
    <row r="12" spans="1:8" x14ac:dyDescent="0.2">
      <c r="A12" s="59" t="str">
        <f>'[6]RFP Submittal'!A12</f>
        <v>Schneider Engineering</v>
      </c>
      <c r="B12" s="59"/>
      <c r="C12" s="59"/>
      <c r="D12" s="59"/>
      <c r="E12" s="19">
        <f>[6]Evaluation!E16</f>
        <v>0</v>
      </c>
      <c r="F12" s="19">
        <f>[6]Evaluation!H16</f>
        <v>27.2</v>
      </c>
      <c r="G12" s="19">
        <f>[6]Evaluation!K16</f>
        <v>13.6</v>
      </c>
      <c r="H12" s="20">
        <f t="shared" si="0"/>
        <v>40.799999999999997</v>
      </c>
    </row>
    <row r="13" spans="1:8" x14ac:dyDescent="0.2">
      <c r="A13" s="59" t="str">
        <f>'[6]RFP Submittal'!A13</f>
        <v>Texas Energy Market</v>
      </c>
      <c r="B13" s="59"/>
      <c r="C13" s="59"/>
      <c r="D13" s="59"/>
      <c r="E13" s="19">
        <f>[6]Evaluation!E17</f>
        <v>0</v>
      </c>
      <c r="F13" s="19">
        <f>[6]Evaluation!H17</f>
        <v>24</v>
      </c>
      <c r="G13" s="19">
        <f>[6]Evaluation!K17</f>
        <v>12</v>
      </c>
      <c r="H13" s="20">
        <f t="shared" si="0"/>
        <v>36</v>
      </c>
    </row>
    <row r="14" spans="1:8" x14ac:dyDescent="0.2">
      <c r="A14" s="59" t="str">
        <f>'[6]RFP Submittal'!A14</f>
        <v>Van Brunt Associates</v>
      </c>
      <c r="B14" s="59"/>
      <c r="C14" s="59"/>
      <c r="D14" s="59"/>
      <c r="E14" s="19">
        <f>[6]Evaluation!E18</f>
        <v>0</v>
      </c>
      <c r="F14" s="19">
        <f>[6]Evaluation!H18</f>
        <v>24</v>
      </c>
      <c r="G14" s="19">
        <f>[6]Evaluation!K18</f>
        <v>12</v>
      </c>
      <c r="H14" s="20">
        <f t="shared" si="0"/>
        <v>36</v>
      </c>
    </row>
    <row r="15" spans="1:8" x14ac:dyDescent="0.2">
      <c r="A15" s="59" t="str">
        <f>'[6]RFP Submittal'!A15</f>
        <v>Vervantis</v>
      </c>
      <c r="B15" s="59"/>
      <c r="C15" s="59"/>
      <c r="D15" s="59"/>
      <c r="E15" s="19">
        <f>[6]Evaluation!E19</f>
        <v>0</v>
      </c>
      <c r="F15" s="19">
        <f>[6]Evaluation!H19</f>
        <v>32.799999999999997</v>
      </c>
      <c r="G15" s="19">
        <f>[6]Evaluation!K19</f>
        <v>16.399999999999999</v>
      </c>
      <c r="H15" s="20">
        <f t="shared" si="0"/>
        <v>49.199999999999996</v>
      </c>
    </row>
  </sheetData>
  <mergeCells count="14">
    <mergeCell ref="A14:D14"/>
    <mergeCell ref="A15:D15"/>
    <mergeCell ref="A8:D8"/>
    <mergeCell ref="A9:D9"/>
    <mergeCell ref="A10:D10"/>
    <mergeCell ref="A11:D11"/>
    <mergeCell ref="A12:D12"/>
    <mergeCell ref="A13:D13"/>
    <mergeCell ref="A7:D7"/>
    <mergeCell ref="E1:H1"/>
    <mergeCell ref="A3:D3"/>
    <mergeCell ref="A4:D4"/>
    <mergeCell ref="A5:D5"/>
    <mergeCell ref="A6:D6"/>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6"/>
  <sheetViews>
    <sheetView workbookViewId="0">
      <selection activeCell="J20" sqref="J20"/>
    </sheetView>
  </sheetViews>
  <sheetFormatPr defaultRowHeight="15" x14ac:dyDescent="0.2"/>
  <cols>
    <col min="1" max="1" width="42.5703125" style="1" customWidth="1"/>
    <col min="2" max="2" width="9.28515625" style="1" customWidth="1"/>
    <col min="3" max="3" width="7.5703125" style="16" customWidth="1"/>
    <col min="4" max="7" width="7.5703125" style="1" customWidth="1"/>
    <col min="8" max="8" width="14" style="1" customWidth="1"/>
    <col min="9" max="9" width="10.42578125" style="1" bestFit="1" customWidth="1"/>
    <col min="10" max="10" width="7.5703125" style="1" customWidth="1"/>
    <col min="11" max="11" width="10.42578125" style="1" bestFit="1" customWidth="1"/>
    <col min="12" max="13" width="14.85546875" style="1" customWidth="1"/>
    <col min="14" max="16384" width="9.140625" style="1"/>
  </cols>
  <sheetData>
    <row r="1" spans="1:11" ht="15.75" x14ac:dyDescent="0.25">
      <c r="A1" s="63" t="s">
        <v>2</v>
      </c>
      <c r="B1" s="63"/>
      <c r="C1" s="63"/>
      <c r="D1" s="63"/>
      <c r="E1" s="63"/>
      <c r="F1" s="63"/>
      <c r="G1" s="63"/>
      <c r="H1" s="63"/>
      <c r="I1" s="63"/>
      <c r="J1" s="63"/>
      <c r="K1" s="63"/>
    </row>
    <row r="2" spans="1:11" ht="26.25" customHeight="1" x14ac:dyDescent="0.2">
      <c r="A2" s="64" t="s">
        <v>13</v>
      </c>
      <c r="B2" s="64"/>
      <c r="C2" s="64"/>
      <c r="D2" s="64"/>
      <c r="E2" s="64"/>
      <c r="F2" s="64"/>
      <c r="G2" s="64"/>
      <c r="H2" s="64"/>
      <c r="I2" s="64"/>
      <c r="J2" s="64"/>
      <c r="K2" s="64"/>
    </row>
    <row r="3" spans="1:11" ht="15.75" thickBot="1" x14ac:dyDescent="0.25">
      <c r="H3" s="2"/>
      <c r="I3" s="2"/>
      <c r="J3" s="2"/>
      <c r="K3" s="2"/>
    </row>
    <row r="4" spans="1:11" s="7" customFormat="1" ht="124.5" customHeight="1" thickBot="1" x14ac:dyDescent="0.25">
      <c r="A4" s="3" t="s">
        <v>0</v>
      </c>
      <c r="B4" s="4" t="str">
        <f>'1'!E1</f>
        <v>Evaluator 1</v>
      </c>
      <c r="C4" s="4" t="str">
        <f>'2'!E1</f>
        <v>Evaluator 2</v>
      </c>
      <c r="D4" s="4" t="str">
        <f>'3'!E1</f>
        <v>Evaluator 3</v>
      </c>
      <c r="E4" s="4" t="str">
        <f>'4'!E1</f>
        <v>Evaluator 4</v>
      </c>
      <c r="F4" s="4" t="str">
        <f>'5'!E1</f>
        <v>Evaluator 5</v>
      </c>
      <c r="G4" s="4" t="str">
        <f>'6'!E1</f>
        <v>Evaluator 6</v>
      </c>
      <c r="H4" s="5" t="s">
        <v>3</v>
      </c>
      <c r="I4" s="6" t="s">
        <v>1</v>
      </c>
    </row>
    <row r="5" spans="1:11" ht="16.5" customHeight="1" x14ac:dyDescent="0.2">
      <c r="A5" s="8" t="str">
        <f>'1'!A4</f>
        <v>Acclaim Energy, LTD</v>
      </c>
      <c r="B5" s="9">
        <f>SUM('1'!F4:G4)</f>
        <v>54.4</v>
      </c>
      <c r="C5" s="9">
        <f>'2'!H4</f>
        <v>46</v>
      </c>
      <c r="D5" s="9">
        <f>'3'!H4</f>
        <v>42</v>
      </c>
      <c r="E5" s="9">
        <f>'4'!H4</f>
        <v>40</v>
      </c>
      <c r="F5" s="9">
        <f>'5'!H4</f>
        <v>38</v>
      </c>
      <c r="G5" s="9">
        <f>'6'!H4</f>
        <v>48</v>
      </c>
      <c r="H5" s="9">
        <f>AVERAGE(B5:G5)</f>
        <v>44.733333333333327</v>
      </c>
      <c r="I5" s="10">
        <f>RANK(H5,$H$5:$H$16,0)</f>
        <v>2</v>
      </c>
    </row>
    <row r="6" spans="1:11" ht="16.5" customHeight="1" x14ac:dyDescent="0.2">
      <c r="A6" s="8" t="str">
        <f>'1'!A5</f>
        <v>Amerex Brokers, LLC</v>
      </c>
      <c r="B6" s="9">
        <f>SUM('1'!F5:G5)</f>
        <v>50.16</v>
      </c>
      <c r="C6" s="9">
        <f>'2'!H5</f>
        <v>37</v>
      </c>
      <c r="D6" s="9">
        <f>'3'!H5</f>
        <v>46.8</v>
      </c>
      <c r="E6" s="9">
        <f>'4'!H5</f>
        <v>46</v>
      </c>
      <c r="F6" s="9">
        <f>'5'!H5</f>
        <v>54</v>
      </c>
      <c r="G6" s="9">
        <f>'6'!H5</f>
        <v>48</v>
      </c>
      <c r="H6" s="9">
        <f t="shared" ref="H6:H16" si="0">AVERAGE(B6:G6)</f>
        <v>46.993333333333332</v>
      </c>
      <c r="I6" s="10">
        <f t="shared" ref="I6:I16" si="1">RANK(H6,$H$5:$H$16,0)</f>
        <v>1</v>
      </c>
    </row>
    <row r="7" spans="1:11" x14ac:dyDescent="0.2">
      <c r="A7" s="8" t="str">
        <f>'1'!A6</f>
        <v>Bernhard TME, LLC</v>
      </c>
      <c r="B7" s="9">
        <f>SUM('1'!F6:G6)</f>
        <v>44.24</v>
      </c>
      <c r="C7" s="9">
        <f>'2'!H6</f>
        <v>33</v>
      </c>
      <c r="D7" s="9">
        <f>'3'!H6</f>
        <v>50.8</v>
      </c>
      <c r="E7" s="9">
        <f>'4'!H6</f>
        <v>32.799999999999997</v>
      </c>
      <c r="F7" s="9">
        <f>'5'!H6</f>
        <v>34</v>
      </c>
      <c r="G7" s="9">
        <f>'6'!H6</f>
        <v>49.199999999999996</v>
      </c>
      <c r="H7" s="9">
        <f t="shared" si="0"/>
        <v>40.673333333333339</v>
      </c>
      <c r="I7" s="10">
        <f t="shared" si="1"/>
        <v>5</v>
      </c>
    </row>
    <row r="8" spans="1:11" x14ac:dyDescent="0.2">
      <c r="A8" s="8" t="str">
        <f>'1'!A7</f>
        <v>Brasovan Energy</v>
      </c>
      <c r="B8" s="9">
        <f>SUM('1'!F7:G7)</f>
        <v>42.96</v>
      </c>
      <c r="C8" s="9">
        <f>'2'!H7</f>
        <v>30</v>
      </c>
      <c r="D8" s="9">
        <f>'3'!H7</f>
        <v>52.8</v>
      </c>
      <c r="E8" s="9">
        <f>'4'!H7</f>
        <v>34</v>
      </c>
      <c r="F8" s="9">
        <f>'5'!H7</f>
        <v>56</v>
      </c>
      <c r="G8" s="9">
        <f>'6'!H7</f>
        <v>51.599999999999994</v>
      </c>
      <c r="H8" s="9">
        <f t="shared" si="0"/>
        <v>44.56</v>
      </c>
      <c r="I8" s="10">
        <f t="shared" si="1"/>
        <v>3</v>
      </c>
    </row>
    <row r="9" spans="1:11" x14ac:dyDescent="0.2">
      <c r="A9" s="8" t="str">
        <f>'1'!A8</f>
        <v>Energy Advisory Service</v>
      </c>
      <c r="B9" s="9">
        <f>SUM('1'!F8:G8)</f>
        <v>35.92</v>
      </c>
      <c r="C9" s="9">
        <f>'2'!H8</f>
        <v>26</v>
      </c>
      <c r="D9" s="9">
        <f>'3'!H8</f>
        <v>39.6</v>
      </c>
      <c r="E9" s="9">
        <f>'4'!H8</f>
        <v>24</v>
      </c>
      <c r="F9" s="9">
        <f>'5'!H8</f>
        <v>26</v>
      </c>
      <c r="G9" s="9">
        <f>'6'!H8</f>
        <v>46.8</v>
      </c>
      <c r="H9" s="9">
        <f t="shared" si="0"/>
        <v>33.053333333333335</v>
      </c>
      <c r="I9" s="10">
        <f t="shared" si="1"/>
        <v>7</v>
      </c>
    </row>
    <row r="10" spans="1:11" x14ac:dyDescent="0.2">
      <c r="A10" s="8" t="str">
        <f>'1'!A9</f>
        <v>EnerNoc</v>
      </c>
      <c r="B10" s="9">
        <f>SUM('1'!F9:G9)</f>
        <v>45.36</v>
      </c>
      <c r="C10" s="9">
        <f>'2'!H9</f>
        <v>41</v>
      </c>
      <c r="D10" s="9">
        <f>'3'!H9</f>
        <v>42.8</v>
      </c>
      <c r="E10" s="9">
        <f>'4'!H9</f>
        <v>34</v>
      </c>
      <c r="F10" s="9">
        <f>'5'!H9</f>
        <v>32</v>
      </c>
      <c r="G10" s="9">
        <f>'6'!H9</f>
        <v>52.800000000000004</v>
      </c>
      <c r="H10" s="9">
        <f t="shared" si="0"/>
        <v>41.326666666666668</v>
      </c>
      <c r="I10" s="10">
        <f t="shared" si="1"/>
        <v>4</v>
      </c>
    </row>
    <row r="11" spans="1:11" x14ac:dyDescent="0.2">
      <c r="A11" s="8" t="str">
        <f>'1'!A10</f>
        <v>Fowler Energy Company</v>
      </c>
      <c r="B11" s="9">
        <f>SUM('1'!F10:G10)</f>
        <v>41.839999999999996</v>
      </c>
      <c r="C11" s="9">
        <f>'2'!H10</f>
        <v>39</v>
      </c>
      <c r="D11" s="9">
        <f>'3'!H10</f>
        <v>26</v>
      </c>
      <c r="E11" s="9">
        <f>'4'!H10</f>
        <v>38</v>
      </c>
      <c r="F11" s="9">
        <f>'5'!H10</f>
        <v>24</v>
      </c>
      <c r="G11" s="9">
        <f>'6'!H10</f>
        <v>48</v>
      </c>
      <c r="H11" s="9">
        <f t="shared" si="0"/>
        <v>36.14</v>
      </c>
      <c r="I11" s="10">
        <f t="shared" si="1"/>
        <v>6</v>
      </c>
    </row>
    <row r="12" spans="1:11" x14ac:dyDescent="0.2">
      <c r="A12" s="8" t="str">
        <f>'1'!A11</f>
        <v>River Oaks Energy</v>
      </c>
      <c r="B12" s="9">
        <f>SUM('1'!F11:G11)</f>
        <v>24.560000000000002</v>
      </c>
      <c r="C12" s="9">
        <f>'2'!H11</f>
        <v>24</v>
      </c>
      <c r="D12" s="9">
        <f>'3'!H11</f>
        <v>40.799999999999997</v>
      </c>
      <c r="E12" s="9">
        <f>'4'!H11</f>
        <v>22</v>
      </c>
      <c r="F12" s="9">
        <f>'5'!H11</f>
        <v>38</v>
      </c>
      <c r="G12" s="9">
        <f>'6'!H11</f>
        <v>39.599999999999994</v>
      </c>
      <c r="H12" s="9">
        <f t="shared" si="0"/>
        <v>31.493333333333336</v>
      </c>
      <c r="I12" s="10">
        <f t="shared" si="1"/>
        <v>8</v>
      </c>
    </row>
    <row r="13" spans="1:11" x14ac:dyDescent="0.2">
      <c r="A13" s="8" t="str">
        <f>'1'!A12</f>
        <v>Schneider Engineering</v>
      </c>
      <c r="B13" s="9">
        <f>SUM('1'!F12:G12)</f>
        <v>17.760000000000002</v>
      </c>
      <c r="C13" s="9">
        <f>'2'!H12</f>
        <v>27</v>
      </c>
      <c r="D13" s="9">
        <f>'3'!H12</f>
        <v>25.6</v>
      </c>
      <c r="E13" s="9">
        <f>'4'!H12</f>
        <v>28</v>
      </c>
      <c r="F13" s="9">
        <f>'5'!H12</f>
        <v>20</v>
      </c>
      <c r="G13" s="9">
        <f>'6'!H12</f>
        <v>40.799999999999997</v>
      </c>
      <c r="H13" s="9">
        <f t="shared" si="0"/>
        <v>26.526666666666671</v>
      </c>
      <c r="I13" s="10">
        <f t="shared" si="1"/>
        <v>11</v>
      </c>
    </row>
    <row r="14" spans="1:11" x14ac:dyDescent="0.2">
      <c r="A14" s="8" t="str">
        <f>'1'!A13</f>
        <v>Texas Energy Market</v>
      </c>
      <c r="B14" s="9">
        <f>SUM('1'!F13:G13)</f>
        <v>15.280000000000001</v>
      </c>
      <c r="C14" s="9">
        <f>'2'!H13</f>
        <v>16</v>
      </c>
      <c r="D14" s="9">
        <f>'3'!H13</f>
        <v>12</v>
      </c>
      <c r="E14" s="9">
        <f>'4'!H13</f>
        <v>12</v>
      </c>
      <c r="F14" s="9">
        <f>'5'!H13</f>
        <v>12</v>
      </c>
      <c r="G14" s="9">
        <f>'6'!H13</f>
        <v>36</v>
      </c>
      <c r="H14" s="9">
        <f t="shared" si="0"/>
        <v>17.213333333333335</v>
      </c>
      <c r="I14" s="10">
        <f t="shared" si="1"/>
        <v>12</v>
      </c>
    </row>
    <row r="15" spans="1:11" x14ac:dyDescent="0.2">
      <c r="A15" s="8" t="str">
        <f>'1'!A14</f>
        <v>Van Brunt Associates</v>
      </c>
      <c r="B15" s="9">
        <f>SUM('1'!F14:G14)</f>
        <v>27.36</v>
      </c>
      <c r="C15" s="9">
        <f>'2'!H14</f>
        <v>32</v>
      </c>
      <c r="D15" s="9">
        <f>'3'!H14</f>
        <v>24</v>
      </c>
      <c r="E15" s="9">
        <f>'4'!H14</f>
        <v>31.2</v>
      </c>
      <c r="F15" s="9">
        <f>'5'!H14</f>
        <v>24</v>
      </c>
      <c r="G15" s="9">
        <f>'6'!H14</f>
        <v>36</v>
      </c>
      <c r="H15" s="9">
        <f t="shared" si="0"/>
        <v>29.093333333333334</v>
      </c>
      <c r="I15" s="10">
        <f t="shared" si="1"/>
        <v>9</v>
      </c>
    </row>
    <row r="16" spans="1:11" x14ac:dyDescent="0.2">
      <c r="A16" s="8" t="str">
        <f>'1'!A15</f>
        <v>Vervantis</v>
      </c>
      <c r="B16" s="9">
        <f>SUM('1'!F15:G15)</f>
        <v>18.399999999999999</v>
      </c>
      <c r="C16" s="9">
        <f>'2'!H15</f>
        <v>26</v>
      </c>
      <c r="D16" s="9">
        <f>'3'!H15</f>
        <v>21.6</v>
      </c>
      <c r="E16" s="9">
        <f>'4'!H15</f>
        <v>24</v>
      </c>
      <c r="F16" s="9">
        <f>'5'!H15</f>
        <v>24</v>
      </c>
      <c r="G16" s="9">
        <f>'6'!H15</f>
        <v>49.199999999999996</v>
      </c>
      <c r="H16" s="9">
        <f t="shared" si="0"/>
        <v>27.2</v>
      </c>
      <c r="I16" s="10">
        <f t="shared" si="1"/>
        <v>10</v>
      </c>
    </row>
  </sheetData>
  <mergeCells count="2">
    <mergeCell ref="A1:K1"/>
    <mergeCell ref="A2:K2"/>
  </mergeCells>
  <pageMargins left="0.24" right="0.3" top="1" bottom="1" header="0.5" footer="0.5"/>
  <pageSetup scale="95" orientation="landscape" horizontalDpi="1200" verticalDpi="12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6"/>
  <sheetViews>
    <sheetView workbookViewId="0">
      <selection activeCell="D20" sqref="D20"/>
    </sheetView>
  </sheetViews>
  <sheetFormatPr defaultRowHeight="15" x14ac:dyDescent="0.2"/>
  <cols>
    <col min="1" max="1" width="42.5703125" style="1" customWidth="1"/>
    <col min="2" max="2" width="19.42578125" style="1" customWidth="1"/>
    <col min="3" max="3" width="14" style="1" customWidth="1"/>
    <col min="4" max="4" width="10.42578125" style="1" bestFit="1" customWidth="1"/>
    <col min="5" max="5" width="7.5703125" style="1" customWidth="1"/>
    <col min="6" max="6" width="10.42578125" style="1" bestFit="1" customWidth="1"/>
    <col min="7" max="8" width="14.85546875" style="1" customWidth="1"/>
    <col min="9" max="16384" width="9.140625" style="1"/>
  </cols>
  <sheetData>
    <row r="1" spans="1:6" ht="15.75" x14ac:dyDescent="0.25">
      <c r="A1" s="63" t="s">
        <v>2</v>
      </c>
      <c r="B1" s="63"/>
      <c r="C1" s="63"/>
      <c r="D1" s="63"/>
      <c r="E1" s="63"/>
      <c r="F1" s="63"/>
    </row>
    <row r="2" spans="1:6" ht="26.25" customHeight="1" x14ac:dyDescent="0.2">
      <c r="A2" s="64" t="s">
        <v>13</v>
      </c>
      <c r="B2" s="64"/>
      <c r="C2" s="64"/>
      <c r="D2" s="64"/>
      <c r="E2" s="64"/>
      <c r="F2" s="64"/>
    </row>
    <row r="3" spans="1:6" ht="15.75" thickBot="1" x14ac:dyDescent="0.25">
      <c r="C3" s="2"/>
      <c r="D3" s="2"/>
      <c r="E3" s="2"/>
      <c r="F3" s="2"/>
    </row>
    <row r="4" spans="1:6" s="7" customFormat="1" ht="124.5" customHeight="1" thickBot="1" x14ac:dyDescent="0.25">
      <c r="A4" s="3" t="s">
        <v>0</v>
      </c>
      <c r="B4" s="4" t="str">
        <f>Technical!B4</f>
        <v>Evaluator 1</v>
      </c>
      <c r="C4" s="5" t="s">
        <v>4</v>
      </c>
      <c r="D4" s="6" t="s">
        <v>1</v>
      </c>
    </row>
    <row r="5" spans="1:6" x14ac:dyDescent="0.2">
      <c r="A5" s="8" t="str">
        <f>Technical!A5</f>
        <v>Acclaim Energy, LTD</v>
      </c>
      <c r="B5" s="9">
        <f>'1'!E4</f>
        <v>17.36</v>
      </c>
      <c r="C5" s="9">
        <f>AVERAGE(B5:B5)</f>
        <v>17.36</v>
      </c>
      <c r="D5" s="10">
        <f>RANK(C5,$C$5:$C$16,0)</f>
        <v>10</v>
      </c>
    </row>
    <row r="6" spans="1:6" x14ac:dyDescent="0.2">
      <c r="A6" s="8" t="str">
        <f>Technical!A6</f>
        <v>Amerex Brokers, LLC</v>
      </c>
      <c r="B6" s="9">
        <f>'1'!E5</f>
        <v>32.4</v>
      </c>
      <c r="C6" s="9">
        <f t="shared" ref="C6:C16" si="0">AVERAGE(B6:B6)</f>
        <v>32.4</v>
      </c>
      <c r="D6" s="10">
        <f t="shared" ref="D6:D16" si="1">RANK(C6,$C$5:$C$16,0)</f>
        <v>4</v>
      </c>
    </row>
    <row r="7" spans="1:6" x14ac:dyDescent="0.2">
      <c r="A7" s="8" t="str">
        <f>Technical!A7</f>
        <v>Bernhard TME, LLC</v>
      </c>
      <c r="B7" s="9">
        <f>'1'!E6</f>
        <v>30.64</v>
      </c>
      <c r="C7" s="9">
        <f t="shared" si="0"/>
        <v>30.64</v>
      </c>
      <c r="D7" s="10">
        <f t="shared" si="1"/>
        <v>6</v>
      </c>
    </row>
    <row r="8" spans="1:6" x14ac:dyDescent="0.2">
      <c r="A8" s="8" t="str">
        <f>Technical!A8</f>
        <v>Brasovan Energy</v>
      </c>
      <c r="B8" s="9">
        <f>'1'!E7</f>
        <v>31.76</v>
      </c>
      <c r="C8" s="9">
        <f t="shared" si="0"/>
        <v>31.76</v>
      </c>
      <c r="D8" s="10">
        <f t="shared" si="1"/>
        <v>5</v>
      </c>
    </row>
    <row r="9" spans="1:6" x14ac:dyDescent="0.2">
      <c r="A9" s="8" t="str">
        <f>Technical!A9</f>
        <v>Energy Advisory Service</v>
      </c>
      <c r="B9" s="9">
        <f>'1'!E8</f>
        <v>40</v>
      </c>
      <c r="C9" s="9">
        <f t="shared" si="0"/>
        <v>40</v>
      </c>
      <c r="D9" s="10">
        <f t="shared" si="1"/>
        <v>1</v>
      </c>
    </row>
    <row r="10" spans="1:6" x14ac:dyDescent="0.2">
      <c r="A10" s="8" t="str">
        <f>Technical!A10</f>
        <v>EnerNoc</v>
      </c>
      <c r="B10" s="9">
        <f>'1'!E9</f>
        <v>18.64</v>
      </c>
      <c r="C10" s="9">
        <f t="shared" si="0"/>
        <v>18.64</v>
      </c>
      <c r="D10" s="10">
        <f t="shared" si="1"/>
        <v>9</v>
      </c>
    </row>
    <row r="11" spans="1:6" x14ac:dyDescent="0.2">
      <c r="A11" s="8" t="str">
        <f>Technical!A11</f>
        <v>Fowler Energy Company</v>
      </c>
      <c r="B11" s="9">
        <f>'1'!E10</f>
        <v>28.72</v>
      </c>
      <c r="C11" s="9">
        <f t="shared" si="0"/>
        <v>28.72</v>
      </c>
      <c r="D11" s="10">
        <f t="shared" si="1"/>
        <v>7</v>
      </c>
    </row>
    <row r="12" spans="1:6" x14ac:dyDescent="0.2">
      <c r="A12" s="8" t="str">
        <f>Technical!A12</f>
        <v>River Oaks Energy</v>
      </c>
      <c r="B12" s="9">
        <f>'1'!E11</f>
        <v>9.68</v>
      </c>
      <c r="C12" s="9">
        <f t="shared" si="0"/>
        <v>9.68</v>
      </c>
      <c r="D12" s="10">
        <f t="shared" si="1"/>
        <v>12</v>
      </c>
    </row>
    <row r="13" spans="1:6" x14ac:dyDescent="0.2">
      <c r="A13" s="8" t="str">
        <f>Technical!A13</f>
        <v>Schneider Engineering</v>
      </c>
      <c r="B13" s="9">
        <f>'1'!E12</f>
        <v>39.200000000000003</v>
      </c>
      <c r="C13" s="9">
        <f t="shared" si="0"/>
        <v>39.200000000000003</v>
      </c>
      <c r="D13" s="10">
        <f t="shared" si="1"/>
        <v>2</v>
      </c>
    </row>
    <row r="14" spans="1:6" x14ac:dyDescent="0.2">
      <c r="A14" s="8" t="str">
        <f>Technical!A14</f>
        <v>Texas Energy Market</v>
      </c>
      <c r="B14" s="9">
        <f>'1'!E13</f>
        <v>14.24</v>
      </c>
      <c r="C14" s="9">
        <f t="shared" si="0"/>
        <v>14.24</v>
      </c>
      <c r="D14" s="10">
        <f t="shared" si="1"/>
        <v>11</v>
      </c>
    </row>
    <row r="15" spans="1:6" x14ac:dyDescent="0.2">
      <c r="A15" s="8" t="str">
        <f>Technical!A15</f>
        <v>Van Brunt Associates</v>
      </c>
      <c r="B15" s="9">
        <f>'1'!E14</f>
        <v>24.88</v>
      </c>
      <c r="C15" s="9">
        <f t="shared" si="0"/>
        <v>24.88</v>
      </c>
      <c r="D15" s="10">
        <f t="shared" si="1"/>
        <v>8</v>
      </c>
    </row>
    <row r="16" spans="1:6" x14ac:dyDescent="0.2">
      <c r="A16" s="8" t="str">
        <f>Technical!A16</f>
        <v>Vervantis</v>
      </c>
      <c r="B16" s="9">
        <f>'1'!E15</f>
        <v>34</v>
      </c>
      <c r="C16" s="9">
        <f t="shared" si="0"/>
        <v>34</v>
      </c>
      <c r="D16" s="10">
        <f t="shared" si="1"/>
        <v>3</v>
      </c>
    </row>
  </sheetData>
  <mergeCells count="2">
    <mergeCell ref="A1:F1"/>
    <mergeCell ref="A2:F2"/>
  </mergeCells>
  <pageMargins left="0.24" right="0.3" top="1" bottom="1" header="0.5" footer="0.5"/>
  <pageSetup scale="95" orientation="landscape" horizontalDpi="1200" verticalDpi="12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M25"/>
  <sheetViews>
    <sheetView workbookViewId="0">
      <selection activeCell="D21" sqref="D21"/>
    </sheetView>
  </sheetViews>
  <sheetFormatPr defaultRowHeight="15" x14ac:dyDescent="0.2"/>
  <cols>
    <col min="1" max="1" width="42.5703125" style="1" customWidth="1"/>
    <col min="2" max="2" width="9.28515625" style="1" customWidth="1"/>
    <col min="3" max="7" width="7.5703125" style="1" customWidth="1"/>
    <col min="8" max="10" width="14" style="1" customWidth="1"/>
    <col min="11" max="11" width="10.42578125" style="1" bestFit="1" customWidth="1"/>
    <col min="12" max="12" width="7.5703125" style="1" customWidth="1"/>
    <col min="13" max="13" width="10.42578125" style="1" bestFit="1" customWidth="1"/>
    <col min="14" max="15" width="14.85546875" style="1" customWidth="1"/>
    <col min="16" max="16384" width="9.140625" style="1"/>
  </cols>
  <sheetData>
    <row r="1" spans="1:13" ht="15.75" x14ac:dyDescent="0.25">
      <c r="A1" s="63" t="s">
        <v>2</v>
      </c>
      <c r="B1" s="63"/>
      <c r="C1" s="63"/>
      <c r="D1" s="63"/>
      <c r="E1" s="63"/>
      <c r="F1" s="63"/>
      <c r="G1" s="63"/>
      <c r="H1" s="63"/>
      <c r="I1" s="63"/>
      <c r="J1" s="63"/>
      <c r="K1" s="63"/>
      <c r="L1" s="63"/>
      <c r="M1" s="63"/>
    </row>
    <row r="2" spans="1:13" ht="26.25" customHeight="1" x14ac:dyDescent="0.2">
      <c r="A2" s="64" t="s">
        <v>13</v>
      </c>
      <c r="B2" s="64"/>
      <c r="C2" s="64"/>
      <c r="D2" s="64"/>
      <c r="E2" s="64"/>
      <c r="F2" s="64"/>
      <c r="G2" s="64"/>
      <c r="H2" s="64"/>
      <c r="I2" s="64"/>
      <c r="J2" s="64"/>
      <c r="K2" s="64"/>
      <c r="L2" s="64"/>
      <c r="M2" s="64"/>
    </row>
    <row r="3" spans="1:13" ht="15.75" thickBot="1" x14ac:dyDescent="0.25">
      <c r="H3" s="2"/>
      <c r="I3" s="2"/>
      <c r="J3" s="2"/>
      <c r="K3" s="2"/>
      <c r="L3" s="2"/>
      <c r="M3" s="2"/>
    </row>
    <row r="4" spans="1:13" s="7" customFormat="1" ht="124.5" customHeight="1" thickBot="1" x14ac:dyDescent="0.25">
      <c r="A4" s="3" t="s">
        <v>0</v>
      </c>
      <c r="B4" s="29" t="str">
        <f>Technical!B4</f>
        <v>Evaluator 1</v>
      </c>
      <c r="C4" s="4" t="str">
        <f>Technical!C4</f>
        <v>Evaluator 2</v>
      </c>
      <c r="D4" s="4" t="str">
        <f>Technical!D4</f>
        <v>Evaluator 3</v>
      </c>
      <c r="E4" s="4" t="str">
        <f>Technical!E4</f>
        <v>Evaluator 4</v>
      </c>
      <c r="F4" s="4" t="str">
        <f>Technical!F4</f>
        <v>Evaluator 5</v>
      </c>
      <c r="G4" s="4" t="str">
        <f>Technical!G4</f>
        <v>Evaluator 6</v>
      </c>
      <c r="H4" s="13" t="s">
        <v>5</v>
      </c>
      <c r="I4" s="14" t="s">
        <v>4</v>
      </c>
      <c r="J4" s="15" t="s">
        <v>6</v>
      </c>
      <c r="K4" s="12" t="s">
        <v>1</v>
      </c>
    </row>
    <row r="5" spans="1:13" ht="16.5" customHeight="1" x14ac:dyDescent="0.2">
      <c r="A5" s="8" t="str">
        <f>'Non-Technical'!A5</f>
        <v>Acclaim Energy, LTD</v>
      </c>
      <c r="B5" s="9">
        <f>Technical!B5</f>
        <v>54.4</v>
      </c>
      <c r="C5" s="9">
        <f>Technical!C5</f>
        <v>46</v>
      </c>
      <c r="D5" s="9">
        <f>Technical!D5</f>
        <v>42</v>
      </c>
      <c r="E5" s="9">
        <f>Technical!E5</f>
        <v>40</v>
      </c>
      <c r="F5" s="9">
        <f>Technical!F5</f>
        <v>38</v>
      </c>
      <c r="G5" s="9">
        <f>Technical!G5</f>
        <v>48</v>
      </c>
      <c r="H5" s="9">
        <f>AVERAGE(B5:G5)</f>
        <v>44.733333333333327</v>
      </c>
      <c r="I5" s="11">
        <f>'Non-Technical'!C5</f>
        <v>17.36</v>
      </c>
      <c r="J5" s="11">
        <f>H5+I5</f>
        <v>62.093333333333327</v>
      </c>
      <c r="K5" s="10">
        <f>RANK(J5,$J$5:$J$16,0)</f>
        <v>7</v>
      </c>
    </row>
    <row r="6" spans="1:13" ht="16.5" customHeight="1" x14ac:dyDescent="0.2">
      <c r="A6" s="8" t="str">
        <f>'Non-Technical'!A6</f>
        <v>Amerex Brokers, LLC</v>
      </c>
      <c r="B6" s="9">
        <f>Technical!B6</f>
        <v>50.16</v>
      </c>
      <c r="C6" s="9">
        <f>Technical!C6</f>
        <v>37</v>
      </c>
      <c r="D6" s="9">
        <f>Technical!D6</f>
        <v>46.8</v>
      </c>
      <c r="E6" s="9">
        <f>Technical!E6</f>
        <v>46</v>
      </c>
      <c r="F6" s="9">
        <f>Technical!F6</f>
        <v>54</v>
      </c>
      <c r="G6" s="9">
        <f>Technical!G6</f>
        <v>48</v>
      </c>
      <c r="H6" s="9">
        <f t="shared" ref="H6:H15" si="0">AVERAGE(B6:G6)</f>
        <v>46.993333333333332</v>
      </c>
      <c r="I6" s="11">
        <f>'Non-Technical'!C6</f>
        <v>32.4</v>
      </c>
      <c r="J6" s="11">
        <f t="shared" ref="J6:J15" si="1">H6+I6</f>
        <v>79.393333333333331</v>
      </c>
      <c r="K6" s="10">
        <f t="shared" ref="K6:K16" si="2">RANK(J6,$J$5:$J$16,0)</f>
        <v>1</v>
      </c>
    </row>
    <row r="7" spans="1:13" x14ac:dyDescent="0.2">
      <c r="A7" s="8" t="str">
        <f>'Non-Technical'!A7</f>
        <v>Bernhard TME, LLC</v>
      </c>
      <c r="B7" s="9">
        <f>Technical!B7</f>
        <v>44.24</v>
      </c>
      <c r="C7" s="9">
        <f>Technical!C7</f>
        <v>33</v>
      </c>
      <c r="D7" s="9">
        <f>Technical!D7</f>
        <v>50.8</v>
      </c>
      <c r="E7" s="9">
        <f>Technical!E7</f>
        <v>32.799999999999997</v>
      </c>
      <c r="F7" s="9">
        <f>Technical!F7</f>
        <v>34</v>
      </c>
      <c r="G7" s="9">
        <f>Technical!G7</f>
        <v>49.199999999999996</v>
      </c>
      <c r="H7" s="9">
        <f t="shared" si="0"/>
        <v>40.673333333333339</v>
      </c>
      <c r="I7" s="11">
        <f>'Non-Technical'!C7</f>
        <v>30.64</v>
      </c>
      <c r="J7" s="11">
        <f t="shared" si="1"/>
        <v>71.313333333333333</v>
      </c>
      <c r="K7" s="10">
        <f t="shared" si="2"/>
        <v>4</v>
      </c>
    </row>
    <row r="8" spans="1:13" x14ac:dyDescent="0.2">
      <c r="A8" s="8" t="str">
        <f>'Non-Technical'!A8</f>
        <v>Brasovan Energy</v>
      </c>
      <c r="B8" s="9">
        <f>Technical!B8</f>
        <v>42.96</v>
      </c>
      <c r="C8" s="9">
        <f>Technical!C8</f>
        <v>30</v>
      </c>
      <c r="D8" s="9">
        <f>Technical!D8</f>
        <v>52.8</v>
      </c>
      <c r="E8" s="9">
        <f>Technical!E8</f>
        <v>34</v>
      </c>
      <c r="F8" s="9">
        <f>Technical!F8</f>
        <v>56</v>
      </c>
      <c r="G8" s="9">
        <f>Technical!G8</f>
        <v>51.599999999999994</v>
      </c>
      <c r="H8" s="9">
        <f t="shared" si="0"/>
        <v>44.56</v>
      </c>
      <c r="I8" s="11">
        <f>'Non-Technical'!C8</f>
        <v>31.76</v>
      </c>
      <c r="J8" s="11">
        <f t="shared" si="1"/>
        <v>76.320000000000007</v>
      </c>
      <c r="K8" s="10">
        <f t="shared" si="2"/>
        <v>2</v>
      </c>
    </row>
    <row r="9" spans="1:13" x14ac:dyDescent="0.2">
      <c r="A9" s="8" t="str">
        <f>'Non-Technical'!A9</f>
        <v>Energy Advisory Service</v>
      </c>
      <c r="B9" s="9">
        <f>Technical!B9</f>
        <v>35.92</v>
      </c>
      <c r="C9" s="9">
        <f>Technical!C9</f>
        <v>26</v>
      </c>
      <c r="D9" s="9">
        <f>Technical!D9</f>
        <v>39.6</v>
      </c>
      <c r="E9" s="9">
        <f>Technical!E9</f>
        <v>24</v>
      </c>
      <c r="F9" s="9">
        <f>Technical!F9</f>
        <v>26</v>
      </c>
      <c r="G9" s="9">
        <f>Technical!G9</f>
        <v>46.8</v>
      </c>
      <c r="H9" s="9">
        <f t="shared" si="0"/>
        <v>33.053333333333335</v>
      </c>
      <c r="I9" s="11">
        <f>'Non-Technical'!C9</f>
        <v>40</v>
      </c>
      <c r="J9" s="11">
        <f t="shared" si="1"/>
        <v>73.053333333333342</v>
      </c>
      <c r="K9" s="10">
        <f t="shared" si="2"/>
        <v>3</v>
      </c>
    </row>
    <row r="10" spans="1:13" x14ac:dyDescent="0.2">
      <c r="A10" s="8" t="str">
        <f>'Non-Technical'!A10</f>
        <v>EnerNoc</v>
      </c>
      <c r="B10" s="9">
        <f>Technical!B10</f>
        <v>45.36</v>
      </c>
      <c r="C10" s="9">
        <f>Technical!C10</f>
        <v>41</v>
      </c>
      <c r="D10" s="9">
        <f>Technical!D10</f>
        <v>42.8</v>
      </c>
      <c r="E10" s="9">
        <f>Technical!E10</f>
        <v>34</v>
      </c>
      <c r="F10" s="9">
        <f>Technical!F10</f>
        <v>32</v>
      </c>
      <c r="G10" s="9">
        <f>Technical!G10</f>
        <v>52.800000000000004</v>
      </c>
      <c r="H10" s="9">
        <f t="shared" si="0"/>
        <v>41.326666666666668</v>
      </c>
      <c r="I10" s="11">
        <f>'Non-Technical'!C10</f>
        <v>18.64</v>
      </c>
      <c r="J10" s="11">
        <f t="shared" si="1"/>
        <v>59.966666666666669</v>
      </c>
      <c r="K10" s="10">
        <f t="shared" si="2"/>
        <v>9</v>
      </c>
    </row>
    <row r="11" spans="1:13" x14ac:dyDescent="0.2">
      <c r="A11" s="8" t="str">
        <f>'Non-Technical'!A11</f>
        <v>Fowler Energy Company</v>
      </c>
      <c r="B11" s="9">
        <f>Technical!B11</f>
        <v>41.839999999999996</v>
      </c>
      <c r="C11" s="9">
        <f>Technical!C11</f>
        <v>39</v>
      </c>
      <c r="D11" s="9">
        <f>Technical!D11</f>
        <v>26</v>
      </c>
      <c r="E11" s="9">
        <f>Technical!E11</f>
        <v>38</v>
      </c>
      <c r="F11" s="9">
        <f>Technical!F11</f>
        <v>24</v>
      </c>
      <c r="G11" s="9">
        <f>Technical!G11</f>
        <v>48</v>
      </c>
      <c r="H11" s="9">
        <f t="shared" si="0"/>
        <v>36.14</v>
      </c>
      <c r="I11" s="11">
        <f>'Non-Technical'!C11</f>
        <v>28.72</v>
      </c>
      <c r="J11" s="11">
        <f t="shared" si="1"/>
        <v>64.86</v>
      </c>
      <c r="K11" s="10">
        <f t="shared" si="2"/>
        <v>6</v>
      </c>
    </row>
    <row r="12" spans="1:13" x14ac:dyDescent="0.2">
      <c r="A12" s="8" t="str">
        <f>'Non-Technical'!A12</f>
        <v>River Oaks Energy</v>
      </c>
      <c r="B12" s="9">
        <f>Technical!B12</f>
        <v>24.560000000000002</v>
      </c>
      <c r="C12" s="9">
        <f>Technical!C12</f>
        <v>24</v>
      </c>
      <c r="D12" s="9">
        <f>Technical!D12</f>
        <v>40.799999999999997</v>
      </c>
      <c r="E12" s="9">
        <f>Technical!E12</f>
        <v>22</v>
      </c>
      <c r="F12" s="9">
        <f>Technical!F12</f>
        <v>38</v>
      </c>
      <c r="G12" s="9">
        <f>Technical!G12</f>
        <v>39.599999999999994</v>
      </c>
      <c r="H12" s="9">
        <f t="shared" si="0"/>
        <v>31.493333333333336</v>
      </c>
      <c r="I12" s="11">
        <f>'Non-Technical'!C12</f>
        <v>9.68</v>
      </c>
      <c r="J12" s="11">
        <f t="shared" si="1"/>
        <v>41.173333333333332</v>
      </c>
      <c r="K12" s="10">
        <f t="shared" si="2"/>
        <v>11</v>
      </c>
    </row>
    <row r="13" spans="1:13" x14ac:dyDescent="0.2">
      <c r="A13" s="8" t="str">
        <f>'Non-Technical'!A13</f>
        <v>Schneider Engineering</v>
      </c>
      <c r="B13" s="9">
        <f>Technical!B13</f>
        <v>17.760000000000002</v>
      </c>
      <c r="C13" s="9">
        <f>Technical!C13</f>
        <v>27</v>
      </c>
      <c r="D13" s="9">
        <f>Technical!D13</f>
        <v>25.6</v>
      </c>
      <c r="E13" s="9">
        <f>Technical!E13</f>
        <v>28</v>
      </c>
      <c r="F13" s="9">
        <f>Technical!F13</f>
        <v>20</v>
      </c>
      <c r="G13" s="9">
        <f>Technical!G13</f>
        <v>40.799999999999997</v>
      </c>
      <c r="H13" s="9">
        <f t="shared" si="0"/>
        <v>26.526666666666671</v>
      </c>
      <c r="I13" s="11">
        <f>'Non-Technical'!C13</f>
        <v>39.200000000000003</v>
      </c>
      <c r="J13" s="11">
        <f t="shared" si="1"/>
        <v>65.726666666666674</v>
      </c>
      <c r="K13" s="10">
        <f t="shared" si="2"/>
        <v>5</v>
      </c>
    </row>
    <row r="14" spans="1:13" x14ac:dyDescent="0.2">
      <c r="A14" s="8" t="str">
        <f>'Non-Technical'!A14</f>
        <v>Texas Energy Market</v>
      </c>
      <c r="B14" s="9">
        <f>Technical!B14</f>
        <v>15.280000000000001</v>
      </c>
      <c r="C14" s="9">
        <f>Technical!C14</f>
        <v>16</v>
      </c>
      <c r="D14" s="9">
        <f>Technical!D14</f>
        <v>12</v>
      </c>
      <c r="E14" s="9">
        <f>Technical!E14</f>
        <v>12</v>
      </c>
      <c r="F14" s="9">
        <f>Technical!F14</f>
        <v>12</v>
      </c>
      <c r="G14" s="9">
        <f>Technical!G14</f>
        <v>36</v>
      </c>
      <c r="H14" s="9">
        <f t="shared" si="0"/>
        <v>17.213333333333335</v>
      </c>
      <c r="I14" s="11">
        <f>'Non-Technical'!C14</f>
        <v>14.24</v>
      </c>
      <c r="J14" s="11">
        <f t="shared" si="1"/>
        <v>31.453333333333333</v>
      </c>
      <c r="K14" s="10">
        <f t="shared" si="2"/>
        <v>12</v>
      </c>
    </row>
    <row r="15" spans="1:13" x14ac:dyDescent="0.2">
      <c r="A15" s="8" t="str">
        <f>'Non-Technical'!A15</f>
        <v>Van Brunt Associates</v>
      </c>
      <c r="B15" s="9">
        <f>Technical!B15</f>
        <v>27.36</v>
      </c>
      <c r="C15" s="9">
        <f>Technical!C15</f>
        <v>32</v>
      </c>
      <c r="D15" s="9">
        <f>Technical!D15</f>
        <v>24</v>
      </c>
      <c r="E15" s="9">
        <f>Technical!E15</f>
        <v>31.2</v>
      </c>
      <c r="F15" s="9">
        <f>Technical!F15</f>
        <v>24</v>
      </c>
      <c r="G15" s="9">
        <f>Technical!G15</f>
        <v>36</v>
      </c>
      <c r="H15" s="9">
        <f t="shared" si="0"/>
        <v>29.093333333333334</v>
      </c>
      <c r="I15" s="11">
        <f>'Non-Technical'!C15</f>
        <v>24.88</v>
      </c>
      <c r="J15" s="11">
        <f t="shared" si="1"/>
        <v>53.973333333333329</v>
      </c>
      <c r="K15" s="10">
        <f t="shared" si="2"/>
        <v>10</v>
      </c>
    </row>
    <row r="16" spans="1:13" x14ac:dyDescent="0.2">
      <c r="A16" s="8" t="str">
        <f>'Non-Technical'!A16</f>
        <v>Vervantis</v>
      </c>
      <c r="B16" s="9">
        <f>Technical!B16</f>
        <v>18.399999999999999</v>
      </c>
      <c r="C16" s="9">
        <f>Technical!C16</f>
        <v>26</v>
      </c>
      <c r="D16" s="9">
        <f>Technical!D16</f>
        <v>21.6</v>
      </c>
      <c r="E16" s="9">
        <f>Technical!E16</f>
        <v>24</v>
      </c>
      <c r="F16" s="9">
        <f>Technical!F16</f>
        <v>24</v>
      </c>
      <c r="G16" s="9">
        <f>Technical!G16</f>
        <v>49.199999999999996</v>
      </c>
      <c r="H16" s="9">
        <f>AVERAGE(B16:G16)</f>
        <v>27.2</v>
      </c>
      <c r="I16" s="11">
        <f>'Non-Technical'!C16</f>
        <v>34</v>
      </c>
      <c r="J16" s="11">
        <f>H16+I16</f>
        <v>61.2</v>
      </c>
      <c r="K16" s="10">
        <f t="shared" si="2"/>
        <v>8</v>
      </c>
    </row>
    <row r="19" spans="1:11" x14ac:dyDescent="0.2">
      <c r="H19" s="2"/>
      <c r="I19" s="2"/>
      <c r="J19" s="2"/>
      <c r="K19" s="2"/>
    </row>
    <row r="20" spans="1:11" x14ac:dyDescent="0.2">
      <c r="H20" s="2"/>
      <c r="I20" s="2"/>
      <c r="J20" s="2"/>
      <c r="K20" s="2"/>
    </row>
    <row r="21" spans="1:11" x14ac:dyDescent="0.2">
      <c r="A21" s="30" t="s">
        <v>43</v>
      </c>
      <c r="H21" s="2"/>
      <c r="I21" s="2"/>
      <c r="J21" s="2"/>
      <c r="K21" s="2"/>
    </row>
    <row r="22" spans="1:11" x14ac:dyDescent="0.2">
      <c r="A22" s="16"/>
      <c r="H22" s="2"/>
      <c r="I22" s="2"/>
      <c r="J22" s="2"/>
      <c r="K22" s="2"/>
    </row>
    <row r="23" spans="1:11" x14ac:dyDescent="0.2">
      <c r="A23" s="30" t="s">
        <v>44</v>
      </c>
      <c r="H23" s="2"/>
      <c r="I23" s="2"/>
      <c r="J23" s="2"/>
      <c r="K23" s="2"/>
    </row>
    <row r="24" spans="1:11" x14ac:dyDescent="0.2">
      <c r="H24" s="2"/>
      <c r="I24" s="2"/>
      <c r="J24" s="2"/>
      <c r="K24" s="2"/>
    </row>
    <row r="25" spans="1:11" x14ac:dyDescent="0.2">
      <c r="H25" s="2"/>
      <c r="I25" s="2"/>
      <c r="J25" s="2"/>
      <c r="K25" s="2"/>
    </row>
  </sheetData>
  <mergeCells count="2">
    <mergeCell ref="A1:M1"/>
    <mergeCell ref="A2:M2"/>
  </mergeCells>
  <pageMargins left="0.24" right="0.3" top="1" bottom="1" header="0.5" footer="0.5"/>
  <pageSetup scale="95" orientation="landscape" horizontalDpi="1200" verticalDpi="12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1</vt:lpstr>
      <vt:lpstr>2</vt:lpstr>
      <vt:lpstr>3</vt:lpstr>
      <vt:lpstr>4</vt:lpstr>
      <vt:lpstr>5</vt:lpstr>
      <vt:lpstr>6</vt:lpstr>
      <vt:lpstr>Technical</vt:lpstr>
      <vt:lpstr>Non-Technical</vt:lpstr>
      <vt:lpstr>Summary</vt:lpstr>
      <vt:lpstr>Cost Evaluation</vt:lpstr>
      <vt:lpstr>Evaluation</vt:lpstr>
    </vt:vector>
  </TitlesOfParts>
  <Company>University of Houston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wsareval</dc:creator>
  <cp:lastModifiedBy>Phan, Liz</cp:lastModifiedBy>
  <cp:lastPrinted>2013-06-21T21:40:12Z</cp:lastPrinted>
  <dcterms:created xsi:type="dcterms:W3CDTF">2013-06-21T21:38:22Z</dcterms:created>
  <dcterms:modified xsi:type="dcterms:W3CDTF">2017-09-20T13:49:00Z</dcterms:modified>
</cp:coreProperties>
</file>